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7\Пресс_релизы_2017\Грузооборот_11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N28" i="1" l="1"/>
  <c r="N25" i="1"/>
  <c r="N9" i="1"/>
  <c r="N6" i="1"/>
  <c r="N29" i="1"/>
  <c r="N26" i="1"/>
  <c r="N21" i="1"/>
  <c r="N11" i="1"/>
  <c r="N10" i="1"/>
  <c r="AA31" i="1"/>
  <c r="AA29" i="1"/>
  <c r="AA26" i="1"/>
  <c r="AA21" i="1"/>
  <c r="AA10" i="1"/>
  <c r="AA11" i="1"/>
  <c r="C31" i="1" l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3" i="1"/>
  <c r="C12" i="1"/>
  <c r="C11" i="1"/>
  <c r="C10" i="1"/>
  <c r="C9" i="1"/>
  <c r="C8" i="1"/>
  <c r="C7" i="1"/>
  <c r="C6" i="1"/>
  <c r="M21" i="1" l="1"/>
  <c r="M28" i="1"/>
  <c r="M25" i="1"/>
  <c r="M9" i="1"/>
  <c r="M6" i="1"/>
  <c r="M10" i="1"/>
  <c r="M29" i="1"/>
  <c r="M26" i="1"/>
  <c r="M11" i="1"/>
  <c r="Z31" i="1"/>
  <c r="Z29" i="1"/>
  <c r="Z26" i="1"/>
  <c r="Z21" i="1"/>
  <c r="Z10" i="1"/>
  <c r="Z11" i="1"/>
  <c r="L28" i="1" l="1"/>
  <c r="L25" i="1"/>
  <c r="L9" i="1"/>
  <c r="L6" i="1"/>
  <c r="Y31" i="1"/>
  <c r="Y29" i="1"/>
  <c r="Y26" i="1"/>
  <c r="Y21" i="1"/>
  <c r="Y11" i="1"/>
  <c r="Y10" i="1"/>
  <c r="Y9" i="1"/>
  <c r="K28" i="1" l="1"/>
  <c r="K25" i="1"/>
  <c r="K9" i="1"/>
  <c r="K6" i="1"/>
  <c r="W11" i="1" l="1"/>
  <c r="W31" i="1"/>
  <c r="W29" i="1"/>
  <c r="W26" i="1"/>
  <c r="W10" i="1"/>
  <c r="W21" i="1"/>
  <c r="J21" i="1"/>
  <c r="J9" i="1"/>
  <c r="J6" i="1"/>
  <c r="J11" i="1" l="1"/>
  <c r="J28" i="1"/>
  <c r="J25" i="1"/>
  <c r="I25" i="1" l="1"/>
  <c r="I28" i="1"/>
  <c r="I6" i="1"/>
  <c r="H28" i="1" l="1"/>
  <c r="H25" i="1"/>
  <c r="H9" i="1"/>
  <c r="H6" i="1"/>
  <c r="T31" i="1" l="1"/>
  <c r="T29" i="1"/>
  <c r="T26" i="1"/>
  <c r="T21" i="1"/>
  <c r="G31" i="1"/>
  <c r="G29" i="1"/>
  <c r="G28" i="1" s="1"/>
  <c r="G21" i="1"/>
  <c r="G25" i="1"/>
  <c r="G26" i="1"/>
  <c r="G11" i="1"/>
  <c r="G10" i="1"/>
  <c r="G9" i="1" s="1"/>
  <c r="G6" i="1"/>
  <c r="F9" i="1" l="1"/>
  <c r="F6" i="1"/>
  <c r="E9" i="1"/>
  <c r="D9" i="1"/>
  <c r="S10" i="1"/>
  <c r="S29" i="1"/>
  <c r="S26" i="1"/>
  <c r="S21" i="1"/>
  <c r="S11" i="1"/>
  <c r="E28" i="1" l="1"/>
  <c r="E25" i="1"/>
  <c r="E6" i="1"/>
  <c r="P31" i="1" l="1"/>
  <c r="AC31" i="1" s="1"/>
  <c r="AD31" i="1" s="1"/>
  <c r="P24" i="1"/>
  <c r="AC24" i="1" s="1"/>
  <c r="AD24" i="1" s="1"/>
  <c r="P23" i="1"/>
  <c r="AC23" i="1" s="1"/>
  <c r="AD23" i="1" s="1"/>
  <c r="P22" i="1"/>
  <c r="AC22" i="1" s="1"/>
  <c r="AD22" i="1" s="1"/>
  <c r="P21" i="1"/>
  <c r="AC21" i="1" s="1"/>
  <c r="AD21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5" i="1"/>
  <c r="AC15" i="1" s="1"/>
  <c r="AD15" i="1" s="1"/>
  <c r="P13" i="1"/>
  <c r="AC13" i="1" s="1"/>
  <c r="AD13" i="1" s="1"/>
  <c r="P11" i="1"/>
  <c r="AC11" i="1" s="1"/>
  <c r="AD11" i="1" s="1"/>
  <c r="P8" i="1"/>
  <c r="AC8" i="1" s="1"/>
  <c r="AD8" i="1" s="1"/>
  <c r="P7" i="1"/>
  <c r="AC7" i="1" s="1"/>
  <c r="AD7" i="1" s="1"/>
  <c r="Q6" i="1" l="1"/>
  <c r="D6" i="1"/>
  <c r="Q30" i="1" l="1"/>
  <c r="P30" i="1" s="1"/>
  <c r="AC30" i="1" s="1"/>
  <c r="AD30" i="1" s="1"/>
  <c r="Q29" i="1"/>
  <c r="P29" i="1" s="1"/>
  <c r="AC29" i="1" s="1"/>
  <c r="AD29" i="1" s="1"/>
  <c r="Q27" i="1"/>
  <c r="P27" i="1" s="1"/>
  <c r="AC27" i="1" s="1"/>
  <c r="AD27" i="1" s="1"/>
  <c r="Q26" i="1" l="1"/>
  <c r="P26" i="1" s="1"/>
  <c r="AC26" i="1" s="1"/>
  <c r="AD26" i="1" s="1"/>
  <c r="P12" i="1" l="1"/>
  <c r="AC12" i="1" s="1"/>
  <c r="AD12" i="1" s="1"/>
  <c r="W28" i="1"/>
  <c r="W25" i="1"/>
  <c r="W9" i="1"/>
  <c r="W6" i="1"/>
  <c r="O5" i="1"/>
  <c r="N5" i="1"/>
  <c r="C5" i="1" s="1"/>
  <c r="M5" i="1"/>
  <c r="L5" i="1"/>
  <c r="K5" i="1"/>
  <c r="I5" i="1"/>
  <c r="H5" i="1"/>
  <c r="G5" i="1"/>
  <c r="F5" i="1"/>
  <c r="E5" i="1"/>
  <c r="D5" i="1"/>
  <c r="H4" i="1" l="1"/>
  <c r="W5" i="1"/>
  <c r="R20" i="1"/>
  <c r="S20" i="1"/>
  <c r="T20" i="1"/>
  <c r="U20" i="1"/>
  <c r="V20" i="1"/>
  <c r="W20" i="1"/>
  <c r="X20" i="1"/>
  <c r="Y20" i="1"/>
  <c r="Z20" i="1"/>
  <c r="AA20" i="1"/>
  <c r="AB20" i="1"/>
  <c r="Q20" i="1"/>
  <c r="E20" i="1"/>
  <c r="F20" i="1"/>
  <c r="G20" i="1"/>
  <c r="H20" i="1"/>
  <c r="I20" i="1"/>
  <c r="J20" i="1"/>
  <c r="K20" i="1"/>
  <c r="L20" i="1"/>
  <c r="M20" i="1"/>
  <c r="N20" i="1"/>
  <c r="C20" i="1" s="1"/>
  <c r="O20" i="1"/>
  <c r="D20" i="1"/>
  <c r="R14" i="1"/>
  <c r="S14" i="1"/>
  <c r="T14" i="1"/>
  <c r="U14" i="1"/>
  <c r="V14" i="1"/>
  <c r="W14" i="1"/>
  <c r="X14" i="1"/>
  <c r="Y14" i="1"/>
  <c r="Z14" i="1"/>
  <c r="AA14" i="1"/>
  <c r="AB14" i="1"/>
  <c r="Q14" i="1"/>
  <c r="E14" i="1"/>
  <c r="F14" i="1"/>
  <c r="G14" i="1"/>
  <c r="H14" i="1"/>
  <c r="I14" i="1"/>
  <c r="J14" i="1"/>
  <c r="K14" i="1"/>
  <c r="L14" i="1"/>
  <c r="M14" i="1"/>
  <c r="N14" i="1"/>
  <c r="O14" i="1"/>
  <c r="O4" i="1" s="1"/>
  <c r="D14" i="1"/>
  <c r="D4" i="1" s="1"/>
  <c r="N4" i="1" l="1"/>
  <c r="C4" i="1" s="1"/>
  <c r="C14" i="1"/>
  <c r="M4" i="1"/>
  <c r="L4" i="1"/>
  <c r="K4" i="1"/>
  <c r="W4" i="1"/>
  <c r="J4" i="1"/>
  <c r="I4" i="1"/>
  <c r="G4" i="1"/>
  <c r="F4" i="1"/>
  <c r="P14" i="1"/>
  <c r="P20" i="1"/>
  <c r="E4" i="1"/>
  <c r="AC20" i="1" l="1"/>
  <c r="AD20" i="1" s="1"/>
  <c r="AC14" i="1"/>
  <c r="AD14" i="1" s="1"/>
  <c r="AB9" i="1"/>
  <c r="AA9" i="1"/>
  <c r="Z9" i="1"/>
  <c r="X9" i="1"/>
  <c r="V9" i="1"/>
  <c r="U9" i="1"/>
  <c r="T9" i="1"/>
  <c r="S9" i="1"/>
  <c r="AB28" i="1"/>
  <c r="AA28" i="1"/>
  <c r="Z28" i="1"/>
  <c r="Y28" i="1"/>
  <c r="X28" i="1"/>
  <c r="V28" i="1"/>
  <c r="U28" i="1"/>
  <c r="T28" i="1"/>
  <c r="S28" i="1"/>
  <c r="AB25" i="1"/>
  <c r="AA25" i="1"/>
  <c r="Z25" i="1"/>
  <c r="Y25" i="1"/>
  <c r="X25" i="1"/>
  <c r="V25" i="1"/>
  <c r="U25" i="1"/>
  <c r="T25" i="1"/>
  <c r="S25" i="1"/>
  <c r="AB6" i="1"/>
  <c r="AA6" i="1"/>
  <c r="Z6" i="1"/>
  <c r="Y6" i="1"/>
  <c r="X6" i="1"/>
  <c r="V6" i="1"/>
  <c r="U6" i="1"/>
  <c r="T6" i="1"/>
  <c r="S6" i="1"/>
  <c r="AB5" i="1" l="1"/>
  <c r="AB4" i="1" s="1"/>
  <c r="T5" i="1"/>
  <c r="T4" i="1" s="1"/>
  <c r="X5" i="1"/>
  <c r="X4" i="1" s="1"/>
  <c r="U5" i="1"/>
  <c r="U4" i="1" s="1"/>
  <c r="Y5" i="1"/>
  <c r="Y4" i="1" s="1"/>
  <c r="AA5" i="1"/>
  <c r="AA4" i="1" s="1"/>
  <c r="V5" i="1"/>
  <c r="V4" i="1" s="1"/>
  <c r="Z5" i="1"/>
  <c r="Z4" i="1" s="1"/>
  <c r="R6" i="1"/>
  <c r="P6" i="1" s="1"/>
  <c r="AC6" i="1" s="1"/>
  <c r="AD6" i="1" s="1"/>
  <c r="R28" i="1"/>
  <c r="R25" i="1"/>
  <c r="R9" i="1"/>
  <c r="S5" i="1"/>
  <c r="S4" i="1" s="1"/>
  <c r="R5" i="1" l="1"/>
  <c r="R4" i="1" s="1"/>
  <c r="Q25" i="1"/>
  <c r="Q28" i="1"/>
  <c r="P28" i="1" s="1"/>
  <c r="AC28" i="1" s="1"/>
  <c r="AD28" i="1" s="1"/>
  <c r="P25" i="1" l="1"/>
  <c r="AC25" i="1" s="1"/>
  <c r="AD25" i="1" s="1"/>
  <c r="Q10" i="1" l="1"/>
  <c r="P10" i="1" l="1"/>
  <c r="AC10" i="1" s="1"/>
  <c r="AD10" i="1" s="1"/>
  <c r="Q9" i="1"/>
  <c r="P9" i="1" l="1"/>
  <c r="AC9" i="1" s="1"/>
  <c r="AD9" i="1" s="1"/>
  <c r="Q5" i="1"/>
  <c r="P5" i="1" l="1"/>
  <c r="AC5" i="1" s="1"/>
  <c r="AD5" i="1" s="1"/>
  <c r="Q4" i="1"/>
  <c r="P4" i="1" l="1"/>
  <c r="AC4" i="1" s="1"/>
  <c r="AD4" i="1" s="1"/>
</calcChain>
</file>

<file path=xl/sharedStrings.xml><?xml version="1.0" encoding="utf-8"?>
<sst xmlns="http://schemas.openxmlformats.org/spreadsheetml/2006/main" count="59" uniqueCount="47">
  <si>
    <t xml:space="preserve"> </t>
  </si>
  <si>
    <t>12M 2016</t>
  </si>
  <si>
    <t>11M 2016</t>
  </si>
  <si>
    <t>11M 2017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</si>
  <si>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</si>
  <si>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</si>
  <si>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</si>
  <si>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</si>
  <si>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</si>
  <si>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</si>
  <si>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</si>
  <si>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</si>
  <si>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</si>
  <si>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</si>
  <si>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</si>
  <si>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</si>
  <si>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</si>
  <si>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</si>
  <si>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</si>
  <si>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</si>
  <si>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</si>
  <si>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</si>
  <si>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</si>
  <si>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</si>
  <si>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</si>
  <si>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</si>
  <si>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</si>
  <si>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</si>
  <si>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</si>
  <si>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</si>
  <si>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</si>
  <si>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</si>
  <si>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NCSP Group Cargo Turnover for 11M 2017, thousand tonnes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</si>
  <si>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</si>
  <si>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</si>
  <si>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</si>
  <si>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</si>
  <si>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</si>
  <si>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</si>
  <si>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</si>
  <si>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</si>
  <si>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</si>
  <si>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</si>
  <si>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Change</t>
  </si>
  <si>
    <t>Change %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</si>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</sst>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1_2017/&#1058;&#1086;&#1085;&#1085;&#1099;%202016-2017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3_2017/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>
        <row r="11">
          <cell r="AH11">
            <v>610.2399999999999</v>
          </cell>
        </row>
        <row r="12">
          <cell r="AH12">
            <v>290.31630600000005</v>
          </cell>
        </row>
        <row r="13">
          <cell r="AH13">
            <v>27.96</v>
          </cell>
        </row>
        <row r="14">
          <cell r="AH14">
            <v>1323.3964729999998</v>
          </cell>
        </row>
        <row r="16">
          <cell r="AH16">
            <v>465.13</v>
          </cell>
        </row>
        <row r="17">
          <cell r="AH17">
            <v>304.70000000000005</v>
          </cell>
        </row>
        <row r="18">
          <cell r="AH18">
            <v>3.8999999999999986</v>
          </cell>
        </row>
        <row r="19">
          <cell r="AH19">
            <v>5.009999999999998</v>
          </cell>
        </row>
        <row r="25">
          <cell r="AH25">
            <v>946.77052700000002</v>
          </cell>
        </row>
        <row r="30">
          <cell r="AH30">
            <v>210.36</v>
          </cell>
        </row>
        <row r="31">
          <cell r="AH31">
            <v>251.2</v>
          </cell>
        </row>
        <row r="45">
          <cell r="AH45">
            <v>281.78999999999996</v>
          </cell>
        </row>
        <row r="59">
          <cell r="AH59">
            <v>76.049599000000001</v>
          </cell>
        </row>
        <row r="79">
          <cell r="AH79">
            <v>17.920000000000002</v>
          </cell>
        </row>
        <row r="80">
          <cell r="AH80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tabSelected="1" zoomScaleNormal="100" zoomScaleSheetLayoutView="100" workbookViewId="0">
      <pane xSplit="1" topLeftCell="B1" activePane="topRight" state="frozen"/>
      <selection pane="topRight" activeCell="B15" sqref="B15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9" width="10.7109375" style="2" hidden="1" customWidth="1" outlineLevel="1"/>
    <col min="10" max="10" width="10.7109375" style="2" customWidth="1" collapsed="1"/>
    <col min="11" max="13" width="10.7109375" style="2" customWidth="1"/>
    <col min="14" max="14" width="10.7109375" style="2" customWidth="1" collapsed="1"/>
    <col min="15" max="15" width="10.7109375" style="2" hidden="1" customWidth="1" outlineLevel="1"/>
    <col min="16" max="16" width="10.7109375" style="1" customWidth="1" collapsed="1"/>
    <col min="17" max="22" width="10.7109375" style="2" hidden="1" customWidth="1" outlineLevel="1"/>
    <col min="23" max="23" width="10.7109375" style="2" customWidth="1" collapsed="1"/>
    <col min="24" max="27" width="10.7109375" style="2" customWidth="1"/>
    <col min="28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</cols>
  <sheetData>
    <row r="1" spans="1:33" ht="23.25" x14ac:dyDescent="0.35">
      <c r="A1" s="8" t="s">
        <v>32</v>
      </c>
    </row>
    <row r="3" spans="1:33" s="10" customFormat="1" ht="30.75" customHeight="1" x14ac:dyDescent="0.2">
      <c r="A3" s="23"/>
      <c r="B3" s="19" t="s">
        <v>1</v>
      </c>
      <c r="C3" s="19" t="s">
        <v>2</v>
      </c>
      <c r="D3" s="24" t="s">
        <v>33</v>
      </c>
      <c r="E3" s="24" t="s">
        <v>34</v>
      </c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45</v>
      </c>
      <c r="O3" s="24" t="s">
        <v>46</v>
      </c>
      <c r="P3" s="19" t="s">
        <v>3</v>
      </c>
      <c r="Q3" s="24" t="s">
        <v>33</v>
      </c>
      <c r="R3" s="24" t="s">
        <v>34</v>
      </c>
      <c r="S3" s="24" t="s">
        <v>35</v>
      </c>
      <c r="T3" s="24" t="s">
        <v>36</v>
      </c>
      <c r="U3" s="24" t="s">
        <v>37</v>
      </c>
      <c r="V3" s="24" t="s">
        <v>38</v>
      </c>
      <c r="W3" s="24" t="s">
        <v>39</v>
      </c>
      <c r="X3" s="24" t="s">
        <v>40</v>
      </c>
      <c r="Y3" s="24" t="s">
        <v>41</v>
      </c>
      <c r="Z3" s="24" t="s">
        <v>42</v>
      </c>
      <c r="AA3" s="24" t="s">
        <v>45</v>
      </c>
      <c r="AB3" s="24" t="s">
        <v>46</v>
      </c>
      <c r="AC3" s="12" t="s">
        <v>43</v>
      </c>
      <c r="AD3" s="12" t="s">
        <v>44</v>
      </c>
    </row>
    <row r="4" spans="1:33" x14ac:dyDescent="0.2">
      <c r="A4" s="3" t="s">
        <v>4</v>
      </c>
      <c r="B4" s="13">
        <v>146912</v>
      </c>
      <c r="C4" s="13">
        <f>SUM(D4:N4)</f>
        <v>134666.62</v>
      </c>
      <c r="D4" s="13">
        <f>D5+D14+D20+D25+D31</f>
        <v>11909</v>
      </c>
      <c r="E4" s="13">
        <f t="shared" ref="E4:O4" si="0">E5+E14+E20+E25+E31</f>
        <v>11906.320000000003</v>
      </c>
      <c r="F4" s="13">
        <f t="shared" si="0"/>
        <v>13204.199999999999</v>
      </c>
      <c r="G4" s="13">
        <f t="shared" si="0"/>
        <v>12867.800000000001</v>
      </c>
      <c r="H4" s="13">
        <f>H5+H14+H20+H25+H31</f>
        <v>12701.9</v>
      </c>
      <c r="I4" s="13">
        <f t="shared" si="0"/>
        <v>11809.800000000001</v>
      </c>
      <c r="J4" s="13">
        <f t="shared" si="0"/>
        <v>11702.300000000001</v>
      </c>
      <c r="K4" s="13">
        <f t="shared" si="0"/>
        <v>12261.399999999998</v>
      </c>
      <c r="L4" s="13">
        <f t="shared" si="0"/>
        <v>12123.7</v>
      </c>
      <c r="M4" s="13">
        <f t="shared" si="0"/>
        <v>12080.1</v>
      </c>
      <c r="N4" s="13">
        <f t="shared" si="0"/>
        <v>12100.099999999997</v>
      </c>
      <c r="O4" s="13">
        <f t="shared" si="0"/>
        <v>11753.133000000003</v>
      </c>
      <c r="P4" s="13">
        <f t="shared" ref="P4:P31" si="1">SUM(Q4:AB4)</f>
        <v>131385.58652699998</v>
      </c>
      <c r="Q4" s="13">
        <f>Q5+Q14+Q20+Q25+Q31</f>
        <v>12669.5</v>
      </c>
      <c r="R4" s="13">
        <f t="shared" ref="R4:AB4" si="2">R5+R14+R20+R25+R31</f>
        <v>11129.9</v>
      </c>
      <c r="S4" s="13">
        <f t="shared" si="2"/>
        <v>13463.722905000001</v>
      </c>
      <c r="T4" s="13">
        <f t="shared" si="2"/>
        <v>13314.863622000001</v>
      </c>
      <c r="U4" s="13">
        <f t="shared" si="2"/>
        <v>12890.699999999999</v>
      </c>
      <c r="V4" s="13">
        <f t="shared" si="2"/>
        <v>10610.3</v>
      </c>
      <c r="W4" s="13">
        <f t="shared" si="2"/>
        <v>11124</v>
      </c>
      <c r="X4" s="13">
        <f t="shared" si="2"/>
        <v>11848.900000000001</v>
      </c>
      <c r="Y4" s="13">
        <f t="shared" si="2"/>
        <v>10689.7</v>
      </c>
      <c r="Z4" s="13">
        <f t="shared" si="2"/>
        <v>12050.099999999999</v>
      </c>
      <c r="AA4" s="13">
        <f t="shared" si="2"/>
        <v>11593.9</v>
      </c>
      <c r="AB4" s="13">
        <f t="shared" si="2"/>
        <v>0</v>
      </c>
      <c r="AC4" s="13">
        <f>P4-C4</f>
        <v>-3281.0334730000177</v>
      </c>
      <c r="AD4" s="20">
        <f>AC4/C4</f>
        <v>-2.4364118391031257E-2</v>
      </c>
      <c r="AE4" s="11"/>
    </row>
    <row r="5" spans="1:33" x14ac:dyDescent="0.2">
      <c r="A5" s="4" t="s">
        <v>5</v>
      </c>
      <c r="B5" s="14">
        <v>113694</v>
      </c>
      <c r="C5" s="14">
        <f t="shared" ref="C5:C31" si="3">SUM(D5:N5)</f>
        <v>104515.90000000002</v>
      </c>
      <c r="D5" s="14">
        <f>D6+D9+D12+D13</f>
        <v>9419</v>
      </c>
      <c r="E5" s="14">
        <f t="shared" ref="E5:I5" si="4">E6+E9+E12+E13</f>
        <v>9182.2000000000007</v>
      </c>
      <c r="F5" s="14">
        <f t="shared" si="4"/>
        <v>10228.5</v>
      </c>
      <c r="G5" s="14">
        <f t="shared" si="4"/>
        <v>10152.1</v>
      </c>
      <c r="H5" s="14">
        <f t="shared" si="4"/>
        <v>9946.4</v>
      </c>
      <c r="I5" s="14">
        <f t="shared" si="4"/>
        <v>9330.2000000000007</v>
      </c>
      <c r="J5" s="14">
        <v>8998.1</v>
      </c>
      <c r="K5" s="14">
        <f t="shared" ref="K5:O5" si="5">K6+K9+K12+K13</f>
        <v>9413.9999999999982</v>
      </c>
      <c r="L5" s="14">
        <f t="shared" si="5"/>
        <v>9445.6</v>
      </c>
      <c r="M5" s="14">
        <f t="shared" si="5"/>
        <v>9270</v>
      </c>
      <c r="N5" s="14">
        <f t="shared" si="5"/>
        <v>9129.7999999999975</v>
      </c>
      <c r="O5" s="14">
        <f t="shared" si="5"/>
        <v>8864.1300000000028</v>
      </c>
      <c r="P5" s="14">
        <f t="shared" si="1"/>
        <v>97538.165999999997</v>
      </c>
      <c r="Q5" s="14">
        <f>Q6+Q9+Q12+Q13</f>
        <v>9786.1</v>
      </c>
      <c r="R5" s="14">
        <f t="shared" ref="R5:AB5" si="6">R6+R9+R12+R13</f>
        <v>8780.2999999999993</v>
      </c>
      <c r="S5" s="14">
        <f t="shared" si="6"/>
        <v>10038.302378</v>
      </c>
      <c r="T5" s="14">
        <f t="shared" si="6"/>
        <v>10205.563622</v>
      </c>
      <c r="U5" s="14">
        <f t="shared" si="6"/>
        <v>9771.6</v>
      </c>
      <c r="V5" s="14">
        <f t="shared" si="6"/>
        <v>7800.1999999999989</v>
      </c>
      <c r="W5" s="14">
        <f t="shared" si="6"/>
        <v>8160.9000000000005</v>
      </c>
      <c r="X5" s="14">
        <f t="shared" si="6"/>
        <v>8542.9</v>
      </c>
      <c r="Y5" s="14">
        <f t="shared" si="6"/>
        <v>7713.2999999999993</v>
      </c>
      <c r="Z5" s="14">
        <f t="shared" si="6"/>
        <v>8641.4</v>
      </c>
      <c r="AA5" s="14">
        <f t="shared" si="6"/>
        <v>8097.5999999999985</v>
      </c>
      <c r="AB5" s="14">
        <f t="shared" si="6"/>
        <v>0</v>
      </c>
      <c r="AC5" s="14">
        <f t="shared" ref="AC5:AC31" si="7">P5-C5</f>
        <v>-6977.7340000000258</v>
      </c>
      <c r="AD5" s="21">
        <f t="shared" ref="AD5:AD31" si="8">AC5/C5</f>
        <v>-6.6762416053442825E-2</v>
      </c>
      <c r="AE5" s="11"/>
    </row>
    <row r="6" spans="1:33" x14ac:dyDescent="0.2">
      <c r="A6" s="5" t="s">
        <v>6</v>
      </c>
      <c r="B6" s="15">
        <v>81117.109999999986</v>
      </c>
      <c r="C6" s="15">
        <f t="shared" si="3"/>
        <v>74849.2</v>
      </c>
      <c r="D6" s="15">
        <f>D8+D7</f>
        <v>6531</v>
      </c>
      <c r="E6" s="15">
        <f t="shared" ref="E6:J6" si="9">E7+E8</f>
        <v>6150.9</v>
      </c>
      <c r="F6" s="15">
        <f t="shared" si="9"/>
        <v>7091</v>
      </c>
      <c r="G6" s="15">
        <f t="shared" si="9"/>
        <v>7508.2999999999993</v>
      </c>
      <c r="H6" s="15">
        <f t="shared" si="9"/>
        <v>7152.7999999999993</v>
      </c>
      <c r="I6" s="15">
        <f t="shared" si="9"/>
        <v>6602</v>
      </c>
      <c r="J6" s="15">
        <f t="shared" si="9"/>
        <v>6567</v>
      </c>
      <c r="K6" s="15">
        <f>K7+K8</f>
        <v>6835.7999999999993</v>
      </c>
      <c r="L6" s="15">
        <f>L7+L8</f>
        <v>6821.1</v>
      </c>
      <c r="M6" s="15">
        <f>M8+M7</f>
        <v>7191.4000000000005</v>
      </c>
      <c r="N6" s="15">
        <f>N7+N8</f>
        <v>6397.9</v>
      </c>
      <c r="O6" s="15">
        <v>5880.0900000000038</v>
      </c>
      <c r="P6" s="15">
        <f t="shared" si="1"/>
        <v>69346.2</v>
      </c>
      <c r="Q6" s="15">
        <f>Q7+Q8</f>
        <v>6633</v>
      </c>
      <c r="R6" s="15">
        <f t="shared" ref="R6:AB6" si="10">R7+R8</f>
        <v>6111.7</v>
      </c>
      <c r="S6" s="15">
        <f t="shared" si="10"/>
        <v>6844.0999999999995</v>
      </c>
      <c r="T6" s="15">
        <f t="shared" si="10"/>
        <v>7358.9</v>
      </c>
      <c r="U6" s="15">
        <f t="shared" si="10"/>
        <v>7126.6</v>
      </c>
      <c r="V6" s="15">
        <f t="shared" si="10"/>
        <v>5342.7</v>
      </c>
      <c r="W6" s="15">
        <f t="shared" si="10"/>
        <v>5686.2000000000007</v>
      </c>
      <c r="X6" s="15">
        <f t="shared" si="10"/>
        <v>6018.4</v>
      </c>
      <c r="Y6" s="15">
        <f t="shared" si="10"/>
        <v>5829.4</v>
      </c>
      <c r="Z6" s="15">
        <f t="shared" si="10"/>
        <v>6545.2999999999993</v>
      </c>
      <c r="AA6" s="15">
        <f t="shared" si="10"/>
        <v>5849.9</v>
      </c>
      <c r="AB6" s="15">
        <f t="shared" si="10"/>
        <v>0</v>
      </c>
      <c r="AC6" s="15">
        <f t="shared" si="7"/>
        <v>-5503</v>
      </c>
      <c r="AD6" s="22">
        <f t="shared" si="8"/>
        <v>-7.3521159878796302E-2</v>
      </c>
      <c r="AE6" s="11"/>
    </row>
    <row r="7" spans="1:33" s="7" customFormat="1" x14ac:dyDescent="0.2">
      <c r="A7" s="6" t="s">
        <v>7</v>
      </c>
      <c r="B7" s="16">
        <v>30438.199999999997</v>
      </c>
      <c r="C7" s="16">
        <f t="shared" si="3"/>
        <v>28370.799999999999</v>
      </c>
      <c r="D7" s="16">
        <v>2813</v>
      </c>
      <c r="E7" s="16">
        <v>2145.4</v>
      </c>
      <c r="F7" s="16">
        <v>3271</v>
      </c>
      <c r="G7" s="16">
        <v>2806.6</v>
      </c>
      <c r="H7" s="16">
        <v>2348.9</v>
      </c>
      <c r="I7" s="16">
        <v>2698</v>
      </c>
      <c r="J7" s="16">
        <v>2359</v>
      </c>
      <c r="K7" s="16">
        <v>2233.6</v>
      </c>
      <c r="L7" s="16">
        <v>2806.5</v>
      </c>
      <c r="M7" s="16">
        <v>2291.3000000000002</v>
      </c>
      <c r="N7" s="16">
        <v>2597.5</v>
      </c>
      <c r="O7" s="16">
        <v>1779.5</v>
      </c>
      <c r="P7" s="16">
        <f t="shared" si="1"/>
        <v>28520.499999999996</v>
      </c>
      <c r="Q7" s="16">
        <v>2334</v>
      </c>
      <c r="R7" s="16">
        <v>2019</v>
      </c>
      <c r="S7" s="16">
        <v>2643.2</v>
      </c>
      <c r="T7" s="16">
        <v>2859.2</v>
      </c>
      <c r="U7" s="16">
        <v>3026.5</v>
      </c>
      <c r="V7" s="16">
        <v>2630</v>
      </c>
      <c r="W7" s="16">
        <v>2480.9</v>
      </c>
      <c r="X7" s="16">
        <v>2717.1</v>
      </c>
      <c r="Y7" s="16">
        <v>2128.8000000000002</v>
      </c>
      <c r="Z7" s="16">
        <v>2643.6</v>
      </c>
      <c r="AA7" s="16">
        <v>3038.2</v>
      </c>
      <c r="AB7" s="16"/>
      <c r="AC7" s="15">
        <f t="shared" si="7"/>
        <v>149.69999999999709</v>
      </c>
      <c r="AD7" s="22">
        <f t="shared" si="8"/>
        <v>5.27655194777719E-3</v>
      </c>
      <c r="AE7" s="11"/>
    </row>
    <row r="8" spans="1:33" s="7" customFormat="1" x14ac:dyDescent="0.2">
      <c r="A8" s="6" t="s">
        <v>8</v>
      </c>
      <c r="B8" s="16">
        <v>50678.909999999996</v>
      </c>
      <c r="C8" s="16">
        <f t="shared" si="3"/>
        <v>46478.399999999994</v>
      </c>
      <c r="D8" s="15">
        <v>3718</v>
      </c>
      <c r="E8" s="16">
        <v>4005.5</v>
      </c>
      <c r="F8" s="16">
        <v>3820</v>
      </c>
      <c r="G8" s="15">
        <v>4701.7</v>
      </c>
      <c r="H8" s="16">
        <v>4803.8999999999996</v>
      </c>
      <c r="I8" s="16">
        <v>3904</v>
      </c>
      <c r="J8" s="16">
        <v>4208</v>
      </c>
      <c r="K8" s="16">
        <v>4602.2</v>
      </c>
      <c r="L8" s="16">
        <v>4014.6</v>
      </c>
      <c r="M8" s="16">
        <v>4900.1000000000004</v>
      </c>
      <c r="N8" s="16">
        <v>3800.4</v>
      </c>
      <c r="O8" s="16">
        <v>4100.5900000000038</v>
      </c>
      <c r="P8" s="16">
        <f t="shared" si="1"/>
        <v>40825.699999999997</v>
      </c>
      <c r="Q8" s="16">
        <v>4299</v>
      </c>
      <c r="R8" s="16">
        <v>4092.7</v>
      </c>
      <c r="S8" s="16">
        <v>4200.8999999999996</v>
      </c>
      <c r="T8" s="15">
        <v>4499.7</v>
      </c>
      <c r="U8" s="16">
        <v>4100.1000000000004</v>
      </c>
      <c r="V8" s="16">
        <v>2712.7</v>
      </c>
      <c r="W8" s="16">
        <v>3205.3</v>
      </c>
      <c r="X8" s="16">
        <v>3301.3</v>
      </c>
      <c r="Y8" s="16">
        <v>3700.6</v>
      </c>
      <c r="Z8" s="16">
        <v>3901.7</v>
      </c>
      <c r="AA8" s="16">
        <v>2811.7</v>
      </c>
      <c r="AB8" s="16"/>
      <c r="AC8" s="15">
        <f t="shared" si="7"/>
        <v>-5652.6999999999971</v>
      </c>
      <c r="AD8" s="22">
        <f t="shared" si="8"/>
        <v>-0.12161993528176525</v>
      </c>
      <c r="AE8" s="11"/>
    </row>
    <row r="9" spans="1:33" x14ac:dyDescent="0.2">
      <c r="A9" s="5" t="s">
        <v>9</v>
      </c>
      <c r="B9" s="17">
        <v>31688.5</v>
      </c>
      <c r="C9" s="15">
        <f t="shared" si="3"/>
        <v>28869.8</v>
      </c>
      <c r="D9" s="15">
        <f>D10+D11</f>
        <v>2831</v>
      </c>
      <c r="E9" s="15">
        <f t="shared" ref="E9:F9" si="11">E10+E11</f>
        <v>2928.6000000000004</v>
      </c>
      <c r="F9" s="15">
        <f t="shared" si="11"/>
        <v>3075</v>
      </c>
      <c r="G9" s="15">
        <f>G10+G11</f>
        <v>2548.6</v>
      </c>
      <c r="H9" s="15">
        <f>H10+H11</f>
        <v>2745.4</v>
      </c>
      <c r="I9" s="15">
        <v>2656</v>
      </c>
      <c r="J9" s="15">
        <f>J10+J11</f>
        <v>2362.6</v>
      </c>
      <c r="K9" s="15">
        <f>K10+K11</f>
        <v>2505</v>
      </c>
      <c r="L9" s="15">
        <f>L10+L11</f>
        <v>2554.5</v>
      </c>
      <c r="M9" s="15">
        <f>M10+M11</f>
        <v>2012.3999999999999</v>
      </c>
      <c r="N9" s="15">
        <f>N10+N11</f>
        <v>2650.7</v>
      </c>
      <c r="O9" s="15">
        <v>2892.1399999999994</v>
      </c>
      <c r="P9" s="17">
        <f t="shared" si="1"/>
        <v>27247.665999999997</v>
      </c>
      <c r="Q9" s="15">
        <f>Q10+Q11</f>
        <v>3039.7</v>
      </c>
      <c r="R9" s="15">
        <f t="shared" ref="R9:AB9" si="12">R10+R11</f>
        <v>2561.8000000000002</v>
      </c>
      <c r="S9" s="15">
        <f t="shared" si="12"/>
        <v>3106.702378</v>
      </c>
      <c r="T9" s="15">
        <f t="shared" si="12"/>
        <v>2707.2636219999995</v>
      </c>
      <c r="U9" s="15">
        <f t="shared" si="12"/>
        <v>2526.6000000000004</v>
      </c>
      <c r="V9" s="15">
        <f t="shared" si="12"/>
        <v>2411.6</v>
      </c>
      <c r="W9" s="15">
        <f t="shared" si="12"/>
        <v>2425.3999999999996</v>
      </c>
      <c r="X9" s="15">
        <f t="shared" si="12"/>
        <v>2460.5</v>
      </c>
      <c r="Y9" s="15">
        <f t="shared" si="12"/>
        <v>1815.8000000000002</v>
      </c>
      <c r="Z9" s="15">
        <f t="shared" si="12"/>
        <v>2015</v>
      </c>
      <c r="AA9" s="15">
        <f t="shared" si="12"/>
        <v>2177.2999999999997</v>
      </c>
      <c r="AB9" s="15">
        <f t="shared" si="12"/>
        <v>0</v>
      </c>
      <c r="AC9" s="15">
        <f t="shared" si="7"/>
        <v>-1622.1340000000018</v>
      </c>
      <c r="AD9" s="22">
        <f t="shared" si="8"/>
        <v>-5.6187919556075966E-2</v>
      </c>
      <c r="AE9" s="11"/>
    </row>
    <row r="10" spans="1:33" s="7" customFormat="1" x14ac:dyDescent="0.2">
      <c r="A10" s="6" t="s">
        <v>10</v>
      </c>
      <c r="B10" s="16">
        <v>17901.07</v>
      </c>
      <c r="C10" s="16">
        <f t="shared" si="3"/>
        <v>16349.8</v>
      </c>
      <c r="D10" s="16">
        <v>1476</v>
      </c>
      <c r="E10" s="16">
        <v>1643.2</v>
      </c>
      <c r="F10" s="16">
        <v>1785</v>
      </c>
      <c r="G10" s="16">
        <f>282.2+217.8+22.3+422.2+385.8+11.8</f>
        <v>1342.1</v>
      </c>
      <c r="H10" s="16">
        <v>1483.5</v>
      </c>
      <c r="I10" s="16">
        <v>1490.5</v>
      </c>
      <c r="J10" s="16">
        <v>1402</v>
      </c>
      <c r="K10" s="16">
        <v>1446.8</v>
      </c>
      <c r="L10" s="16">
        <v>1557.1</v>
      </c>
      <c r="M10" s="16">
        <f>362.3+214.1+10.9+306.1+299.2+11.5</f>
        <v>1204.0999999999999</v>
      </c>
      <c r="N10" s="16">
        <f>362+228.5+21+487.5+411.9+8.6</f>
        <v>1519.5</v>
      </c>
      <c r="O10" s="16">
        <v>1641.6300000000003</v>
      </c>
      <c r="P10" s="16">
        <f t="shared" si="1"/>
        <v>14920.856000000003</v>
      </c>
      <c r="Q10" s="16">
        <f>[18]объемы!$AE$9+[18]объемы!$AE$10+[18]объемы!$AE$11+[18]объемы!$AE$14+[18]объемы!$AE$15+[18]объемы!$AE$17</f>
        <v>1696.7</v>
      </c>
      <c r="R10" s="16">
        <v>1357.6</v>
      </c>
      <c r="S10" s="16">
        <f>[19]объемы!$AH$11+[19]объемы!$AH$12+[19]объемы!$AH$13+[19]объемы!$AH$16+[19]объемы!$AH$17+[19]объемы!$AH$19+[19]объемы!$AH$59</f>
        <v>1779.4059050000001</v>
      </c>
      <c r="T10" s="16">
        <v>1435.4500949999997</v>
      </c>
      <c r="U10" s="16">
        <v>1384.4</v>
      </c>
      <c r="V10" s="16">
        <v>1240.5999999999999</v>
      </c>
      <c r="W10" s="16">
        <f>459.4+246.4+9.4+346.6+175.7+5.1+59</f>
        <v>1301.5999999999999</v>
      </c>
      <c r="X10" s="16">
        <v>1310.2</v>
      </c>
      <c r="Y10" s="16">
        <f>402.2+196.6+15.2+171.6+80.3+2.1+80.7</f>
        <v>948.7</v>
      </c>
      <c r="Z10" s="16">
        <f>560.1+172+15.5+299.8+31+3.1+114.1</f>
        <v>1195.5999999999999</v>
      </c>
      <c r="AA10" s="16">
        <f>466.8+250.8+15.8+307.2+143.6+0.6+85.8</f>
        <v>1270.5999999999997</v>
      </c>
      <c r="AB10" s="16"/>
      <c r="AC10" s="15">
        <f t="shared" si="7"/>
        <v>-1428.9439999999959</v>
      </c>
      <c r="AD10" s="22">
        <f t="shared" si="8"/>
        <v>-8.7398255636154318E-2</v>
      </c>
      <c r="AE10" s="11"/>
      <c r="AG10" s="7" t="s">
        <v>0</v>
      </c>
    </row>
    <row r="11" spans="1:33" s="7" customFormat="1" x14ac:dyDescent="0.2">
      <c r="A11" s="6" t="s">
        <v>11</v>
      </c>
      <c r="B11" s="16">
        <v>13787.430000000002</v>
      </c>
      <c r="C11" s="16">
        <f t="shared" si="3"/>
        <v>12522.599999999999</v>
      </c>
      <c r="D11" s="16">
        <v>1355</v>
      </c>
      <c r="E11" s="16">
        <v>1285.4000000000001</v>
      </c>
      <c r="F11" s="16">
        <v>1290</v>
      </c>
      <c r="G11" s="16">
        <f>1204+2.5</f>
        <v>1206.5</v>
      </c>
      <c r="H11" s="16">
        <v>1261.9000000000001</v>
      </c>
      <c r="I11" s="16">
        <v>1168.0999999999999</v>
      </c>
      <c r="J11" s="16">
        <f>957.8+2.8</f>
        <v>960.59999999999991</v>
      </c>
      <c r="K11" s="16">
        <v>1058.2</v>
      </c>
      <c r="L11" s="16">
        <v>997.4</v>
      </c>
      <c r="M11" s="16">
        <f>802+6.3</f>
        <v>808.3</v>
      </c>
      <c r="N11" s="16">
        <f>1128.1+3.1</f>
        <v>1131.1999999999998</v>
      </c>
      <c r="O11" s="16">
        <v>1250.5099999999993</v>
      </c>
      <c r="P11" s="16">
        <f t="shared" si="1"/>
        <v>12326.81</v>
      </c>
      <c r="Q11" s="16">
        <v>1343</v>
      </c>
      <c r="R11" s="16">
        <v>1204.2</v>
      </c>
      <c r="S11" s="16">
        <f>[19]объемы!$AH$14+[19]объемы!$AH$18</f>
        <v>1327.2964729999999</v>
      </c>
      <c r="T11" s="16">
        <v>1271.8135269999998</v>
      </c>
      <c r="U11" s="16">
        <v>1142.2</v>
      </c>
      <c r="V11" s="16">
        <v>1171</v>
      </c>
      <c r="W11" s="16">
        <f>1121.1+2.7</f>
        <v>1123.8</v>
      </c>
      <c r="X11" s="16">
        <v>1150.3</v>
      </c>
      <c r="Y11" s="16">
        <f>865.2+1.9</f>
        <v>867.1</v>
      </c>
      <c r="Z11" s="16">
        <f>817+2.4</f>
        <v>819.4</v>
      </c>
      <c r="AA11" s="16">
        <f>905.4+1.3</f>
        <v>906.69999999999993</v>
      </c>
      <c r="AB11" s="16"/>
      <c r="AC11" s="15">
        <f t="shared" si="7"/>
        <v>-195.78999999999905</v>
      </c>
      <c r="AD11" s="22">
        <f t="shared" si="8"/>
        <v>-1.5634932042866423E-2</v>
      </c>
      <c r="AE11" s="11"/>
    </row>
    <row r="12" spans="1:33" x14ac:dyDescent="0.2">
      <c r="A12" s="5" t="s">
        <v>12</v>
      </c>
      <c r="B12" s="16">
        <v>715.5</v>
      </c>
      <c r="C12" s="15">
        <f t="shared" si="3"/>
        <v>644</v>
      </c>
      <c r="D12" s="15">
        <v>39</v>
      </c>
      <c r="E12" s="15">
        <v>66</v>
      </c>
      <c r="F12" s="15">
        <v>31.7</v>
      </c>
      <c r="G12" s="15">
        <v>66.2</v>
      </c>
      <c r="H12" s="15">
        <v>34.700000000000003</v>
      </c>
      <c r="I12" s="15">
        <v>66</v>
      </c>
      <c r="J12" s="15">
        <v>68.3</v>
      </c>
      <c r="K12" s="15">
        <v>67.3</v>
      </c>
      <c r="L12" s="15">
        <v>70</v>
      </c>
      <c r="M12" s="15">
        <v>59.9</v>
      </c>
      <c r="N12" s="15">
        <v>74.900000000000006</v>
      </c>
      <c r="O12" s="15">
        <v>61.899999999999977</v>
      </c>
      <c r="P12" s="16">
        <f t="shared" ref="P12" si="13">SUM(Q12:AB12)</f>
        <v>567.9</v>
      </c>
      <c r="Q12" s="15">
        <v>78.099999999999994</v>
      </c>
      <c r="R12" s="15">
        <v>53.4</v>
      </c>
      <c r="S12" s="15">
        <v>63.9</v>
      </c>
      <c r="T12" s="15">
        <v>77.400000000000006</v>
      </c>
      <c r="U12" s="15">
        <v>66.599999999999994</v>
      </c>
      <c r="V12" s="15">
        <v>16.399999999999999</v>
      </c>
      <c r="W12" s="15">
        <v>27</v>
      </c>
      <c r="X12" s="15">
        <v>35.799999999999997</v>
      </c>
      <c r="Y12" s="15">
        <v>37.4</v>
      </c>
      <c r="Z12" s="15">
        <v>65</v>
      </c>
      <c r="AA12" s="15">
        <v>46.9</v>
      </c>
      <c r="AB12" s="15"/>
      <c r="AC12" s="15">
        <f t="shared" si="7"/>
        <v>-76.100000000000023</v>
      </c>
      <c r="AD12" s="22">
        <f t="shared" si="8"/>
        <v>-0.11816770186335407</v>
      </c>
      <c r="AE12" s="11"/>
    </row>
    <row r="13" spans="1:33" x14ac:dyDescent="0.2">
      <c r="A13" s="5" t="s">
        <v>13</v>
      </c>
      <c r="B13" s="16">
        <v>172.1</v>
      </c>
      <c r="C13" s="15">
        <f t="shared" si="3"/>
        <v>152.70000000000002</v>
      </c>
      <c r="D13" s="15">
        <v>18</v>
      </c>
      <c r="E13" s="15">
        <v>36.700000000000003</v>
      </c>
      <c r="F13" s="15">
        <v>30.8</v>
      </c>
      <c r="G13" s="15">
        <v>29</v>
      </c>
      <c r="H13" s="15">
        <v>13.5</v>
      </c>
      <c r="I13" s="15">
        <v>6.2</v>
      </c>
      <c r="J13" s="15">
        <v>0</v>
      </c>
      <c r="K13" s="15">
        <v>5.9</v>
      </c>
      <c r="L13" s="15">
        <v>0</v>
      </c>
      <c r="M13" s="15">
        <v>6.3</v>
      </c>
      <c r="N13" s="15">
        <v>6.3</v>
      </c>
      <c r="O13" s="15">
        <v>30</v>
      </c>
      <c r="P13" s="16">
        <f t="shared" si="1"/>
        <v>376.4</v>
      </c>
      <c r="Q13" s="15">
        <v>35.299999999999997</v>
      </c>
      <c r="R13" s="15">
        <v>53.4</v>
      </c>
      <c r="S13" s="15">
        <v>23.6</v>
      </c>
      <c r="T13" s="15">
        <v>62</v>
      </c>
      <c r="U13" s="15">
        <v>51.8</v>
      </c>
      <c r="V13" s="15">
        <v>29.5</v>
      </c>
      <c r="W13" s="15">
        <v>22.3</v>
      </c>
      <c r="X13" s="15">
        <v>28.2</v>
      </c>
      <c r="Y13" s="15">
        <v>30.7</v>
      </c>
      <c r="Z13" s="15">
        <v>16.100000000000001</v>
      </c>
      <c r="AA13" s="15">
        <v>23.5</v>
      </c>
      <c r="AB13" s="15"/>
      <c r="AC13" s="15">
        <f t="shared" si="7"/>
        <v>223.69999999999996</v>
      </c>
      <c r="AD13" s="22">
        <f t="shared" si="8"/>
        <v>1.4649639816633919</v>
      </c>
      <c r="AE13" s="11"/>
    </row>
    <row r="14" spans="1:33" x14ac:dyDescent="0.2">
      <c r="A14" s="4" t="s">
        <v>14</v>
      </c>
      <c r="B14" s="14">
        <v>12908.7</v>
      </c>
      <c r="C14" s="14">
        <f t="shared" si="3"/>
        <v>11344.32</v>
      </c>
      <c r="D14" s="14">
        <f>SUM(D15:D19)</f>
        <v>969</v>
      </c>
      <c r="E14" s="14">
        <f t="shared" ref="E14:O14" si="14">SUM(E15:E19)</f>
        <v>1097.52</v>
      </c>
      <c r="F14" s="14">
        <f t="shared" si="14"/>
        <v>1156.9000000000001</v>
      </c>
      <c r="G14" s="14">
        <f t="shared" si="14"/>
        <v>888.5</v>
      </c>
      <c r="H14" s="14">
        <f t="shared" si="14"/>
        <v>851.60000000000014</v>
      </c>
      <c r="I14" s="14">
        <f t="shared" si="14"/>
        <v>546.4</v>
      </c>
      <c r="J14" s="14">
        <f t="shared" si="14"/>
        <v>1004.5000000000001</v>
      </c>
      <c r="K14" s="14">
        <f t="shared" si="14"/>
        <v>1128</v>
      </c>
      <c r="L14" s="14">
        <f t="shared" si="14"/>
        <v>1004</v>
      </c>
      <c r="M14" s="14">
        <f t="shared" si="14"/>
        <v>1356.6000000000001</v>
      </c>
      <c r="N14" s="14">
        <f t="shared" si="14"/>
        <v>1341.3</v>
      </c>
      <c r="O14" s="14">
        <f t="shared" si="14"/>
        <v>1439.6000000000001</v>
      </c>
      <c r="P14" s="14">
        <f t="shared" si="1"/>
        <v>15382.800000000001</v>
      </c>
      <c r="Q14" s="14">
        <f>SUM(Q15:Q19)</f>
        <v>1303.4000000000001</v>
      </c>
      <c r="R14" s="14">
        <f t="shared" ref="R14:AB14" si="15">SUM(R15:R19)</f>
        <v>1096.9000000000001</v>
      </c>
      <c r="S14" s="14">
        <f t="shared" si="15"/>
        <v>1490.7</v>
      </c>
      <c r="T14" s="14">
        <f t="shared" si="15"/>
        <v>1476.3999999999999</v>
      </c>
      <c r="U14" s="14">
        <f t="shared" si="15"/>
        <v>1100.4000000000001</v>
      </c>
      <c r="V14" s="14">
        <f t="shared" si="15"/>
        <v>839.60000000000014</v>
      </c>
      <c r="W14" s="14">
        <f t="shared" si="15"/>
        <v>1343.7</v>
      </c>
      <c r="X14" s="14">
        <f t="shared" si="15"/>
        <v>1761.7</v>
      </c>
      <c r="Y14" s="14">
        <f t="shared" si="15"/>
        <v>1501.6000000000001</v>
      </c>
      <c r="Z14" s="14">
        <f t="shared" si="15"/>
        <v>1659.4</v>
      </c>
      <c r="AA14" s="14">
        <f t="shared" si="15"/>
        <v>1809</v>
      </c>
      <c r="AB14" s="14">
        <f t="shared" si="15"/>
        <v>0</v>
      </c>
      <c r="AC14" s="14">
        <f t="shared" si="7"/>
        <v>4038.4800000000014</v>
      </c>
      <c r="AD14" s="21">
        <f t="shared" si="8"/>
        <v>0.35599136836760614</v>
      </c>
      <c r="AE14" s="11"/>
    </row>
    <row r="15" spans="1:33" x14ac:dyDescent="0.2">
      <c r="A15" s="5" t="s">
        <v>15</v>
      </c>
      <c r="B15" s="18">
        <v>6687.7</v>
      </c>
      <c r="C15" s="15">
        <f t="shared" si="3"/>
        <v>5742.5</v>
      </c>
      <c r="D15" s="15">
        <v>477</v>
      </c>
      <c r="E15" s="15">
        <v>662.6</v>
      </c>
      <c r="F15" s="15">
        <v>560</v>
      </c>
      <c r="G15" s="15">
        <v>460.2</v>
      </c>
      <c r="H15" s="15">
        <v>197.7</v>
      </c>
      <c r="I15" s="15">
        <v>64</v>
      </c>
      <c r="J15" s="15">
        <v>393.7</v>
      </c>
      <c r="K15" s="15">
        <v>725.5</v>
      </c>
      <c r="L15" s="15">
        <v>506</v>
      </c>
      <c r="M15" s="15">
        <v>776.7</v>
      </c>
      <c r="N15" s="15">
        <v>919.1</v>
      </c>
      <c r="O15" s="15">
        <v>836</v>
      </c>
      <c r="P15" s="18">
        <f t="shared" si="1"/>
        <v>9985</v>
      </c>
      <c r="Q15" s="15">
        <v>828.2</v>
      </c>
      <c r="R15" s="15">
        <v>740.5</v>
      </c>
      <c r="S15" s="15">
        <v>956.2</v>
      </c>
      <c r="T15" s="15">
        <v>1018.3</v>
      </c>
      <c r="U15" s="15">
        <v>594.20000000000005</v>
      </c>
      <c r="V15" s="15">
        <v>259.3</v>
      </c>
      <c r="W15" s="15">
        <v>765.4</v>
      </c>
      <c r="X15" s="15">
        <v>1189.4000000000001</v>
      </c>
      <c r="Y15" s="15">
        <v>1112.7</v>
      </c>
      <c r="Z15" s="15">
        <v>1218</v>
      </c>
      <c r="AA15" s="15">
        <v>1302.8</v>
      </c>
      <c r="AB15" s="15"/>
      <c r="AC15" s="15">
        <f t="shared" si="7"/>
        <v>4242.5</v>
      </c>
      <c r="AD15" s="22">
        <f t="shared" si="8"/>
        <v>0.73878972572921198</v>
      </c>
      <c r="AE15" s="11"/>
    </row>
    <row r="16" spans="1:33" x14ac:dyDescent="0.2">
      <c r="A16" s="5" t="s">
        <v>16</v>
      </c>
      <c r="B16" s="18">
        <v>837.6</v>
      </c>
      <c r="C16" s="15">
        <f t="shared" si="3"/>
        <v>790.3</v>
      </c>
      <c r="D16" s="15">
        <v>117</v>
      </c>
      <c r="E16" s="15">
        <v>81.900000000000006</v>
      </c>
      <c r="F16" s="15">
        <v>98</v>
      </c>
      <c r="G16" s="15">
        <v>38.200000000000003</v>
      </c>
      <c r="H16" s="15">
        <v>115.5</v>
      </c>
      <c r="I16" s="15">
        <v>72</v>
      </c>
      <c r="J16" s="15">
        <v>61.1</v>
      </c>
      <c r="K16" s="15">
        <v>62.5</v>
      </c>
      <c r="L16" s="15">
        <v>87.7</v>
      </c>
      <c r="M16" s="15">
        <v>35.4</v>
      </c>
      <c r="N16" s="15">
        <v>21</v>
      </c>
      <c r="O16" s="15">
        <v>87.400000000000091</v>
      </c>
      <c r="P16" s="18">
        <f t="shared" si="1"/>
        <v>679.6</v>
      </c>
      <c r="Q16" s="15">
        <v>107.7</v>
      </c>
      <c r="R16" s="15">
        <v>16.2</v>
      </c>
      <c r="S16" s="15">
        <v>126.5</v>
      </c>
      <c r="T16" s="15">
        <v>76.400000000000006</v>
      </c>
      <c r="U16" s="15">
        <v>30.4</v>
      </c>
      <c r="V16" s="15">
        <v>82</v>
      </c>
      <c r="W16" s="15">
        <v>72.7</v>
      </c>
      <c r="X16" s="15">
        <v>39.1</v>
      </c>
      <c r="Y16" s="15">
        <v>20.7</v>
      </c>
      <c r="Z16" s="15">
        <v>39.5</v>
      </c>
      <c r="AA16" s="15">
        <v>68.400000000000006</v>
      </c>
      <c r="AB16" s="15"/>
      <c r="AC16" s="15">
        <f t="shared" si="7"/>
        <v>-110.69999999999993</v>
      </c>
      <c r="AD16" s="22">
        <f t="shared" si="8"/>
        <v>-0.14007338985195489</v>
      </c>
      <c r="AE16" s="11"/>
    </row>
    <row r="17" spans="1:31" x14ac:dyDescent="0.2">
      <c r="A17" s="5" t="s">
        <v>17</v>
      </c>
      <c r="B17" s="18">
        <v>650.19999999999993</v>
      </c>
      <c r="C17" s="15">
        <f t="shared" si="3"/>
        <v>610.22</v>
      </c>
      <c r="D17" s="15">
        <v>42</v>
      </c>
      <c r="E17" s="15">
        <v>2.0000000000010232E-2</v>
      </c>
      <c r="F17" s="15">
        <v>165.4</v>
      </c>
      <c r="G17" s="15">
        <v>42.4</v>
      </c>
      <c r="H17" s="15">
        <v>87.4</v>
      </c>
      <c r="I17" s="15">
        <v>54.4</v>
      </c>
      <c r="J17" s="15">
        <v>90.8</v>
      </c>
      <c r="K17" s="15">
        <v>39.9</v>
      </c>
      <c r="L17" s="15">
        <v>60.4</v>
      </c>
      <c r="M17" s="15">
        <v>27.5</v>
      </c>
      <c r="N17" s="15">
        <v>0</v>
      </c>
      <c r="O17" s="15">
        <v>71</v>
      </c>
      <c r="P17" s="18">
        <f t="shared" si="1"/>
        <v>451.6</v>
      </c>
      <c r="Q17" s="15">
        <v>12</v>
      </c>
      <c r="R17" s="15">
        <v>19</v>
      </c>
      <c r="S17" s="15">
        <v>46.1</v>
      </c>
      <c r="T17" s="15">
        <v>62.5</v>
      </c>
      <c r="U17" s="15">
        <v>11.6</v>
      </c>
      <c r="V17" s="15">
        <v>0</v>
      </c>
      <c r="W17" s="15">
        <v>54.4</v>
      </c>
      <c r="X17" s="15">
        <v>109.2</v>
      </c>
      <c r="Y17" s="15">
        <v>106.9</v>
      </c>
      <c r="Z17" s="15">
        <v>29.9</v>
      </c>
      <c r="AA17" s="15">
        <v>0</v>
      </c>
      <c r="AB17" s="15"/>
      <c r="AC17" s="15">
        <f t="shared" si="7"/>
        <v>-158.62</v>
      </c>
      <c r="AD17" s="22">
        <f t="shared" si="8"/>
        <v>-0.25993903837960081</v>
      </c>
      <c r="AE17" s="11"/>
    </row>
    <row r="18" spans="1:31" x14ac:dyDescent="0.2">
      <c r="A18" s="5" t="s">
        <v>18</v>
      </c>
      <c r="B18" s="18">
        <v>2986.8</v>
      </c>
      <c r="C18" s="15">
        <f t="shared" si="3"/>
        <v>2593.1000000000004</v>
      </c>
      <c r="D18" s="15">
        <v>210</v>
      </c>
      <c r="E18" s="15">
        <v>192.2</v>
      </c>
      <c r="F18" s="15">
        <v>237</v>
      </c>
      <c r="G18" s="15">
        <v>219.5</v>
      </c>
      <c r="H18" s="15">
        <v>275.8</v>
      </c>
      <c r="I18" s="15">
        <v>235.4</v>
      </c>
      <c r="J18" s="15">
        <v>282.8</v>
      </c>
      <c r="K18" s="15">
        <v>140.69999999999999</v>
      </c>
      <c r="L18" s="15">
        <v>226.2</v>
      </c>
      <c r="M18" s="15">
        <v>295.60000000000002</v>
      </c>
      <c r="N18" s="15">
        <v>277.89999999999998</v>
      </c>
      <c r="O18" s="15">
        <v>255.20000000000005</v>
      </c>
      <c r="P18" s="18">
        <f t="shared" si="1"/>
        <v>2407.5000000000005</v>
      </c>
      <c r="Q18" s="15">
        <v>177.1</v>
      </c>
      <c r="R18" s="15">
        <v>162.6</v>
      </c>
      <c r="S18" s="15">
        <v>197</v>
      </c>
      <c r="T18" s="15">
        <v>183.1</v>
      </c>
      <c r="U18" s="15">
        <v>270.5</v>
      </c>
      <c r="V18" s="15">
        <v>311.60000000000002</v>
      </c>
      <c r="W18" s="15">
        <v>216.5</v>
      </c>
      <c r="X18" s="15">
        <v>243.4</v>
      </c>
      <c r="Y18" s="15">
        <v>132</v>
      </c>
      <c r="Z18" s="15">
        <v>217.8</v>
      </c>
      <c r="AA18" s="15">
        <v>295.89999999999998</v>
      </c>
      <c r="AB18" s="15"/>
      <c r="AC18" s="15">
        <f t="shared" si="7"/>
        <v>-185.59999999999991</v>
      </c>
      <c r="AD18" s="22">
        <f t="shared" si="8"/>
        <v>-7.1574563264046848E-2</v>
      </c>
      <c r="AE18" s="11"/>
    </row>
    <row r="19" spans="1:31" x14ac:dyDescent="0.2">
      <c r="A19" s="5" t="s">
        <v>19</v>
      </c>
      <c r="B19" s="18">
        <v>1746.4</v>
      </c>
      <c r="C19" s="15">
        <f t="shared" si="3"/>
        <v>1608.2000000000003</v>
      </c>
      <c r="D19" s="15">
        <v>123</v>
      </c>
      <c r="E19" s="15">
        <v>160.80000000000001</v>
      </c>
      <c r="F19" s="15">
        <v>96.5</v>
      </c>
      <c r="G19" s="15">
        <v>128.19999999999999</v>
      </c>
      <c r="H19" s="15">
        <v>175.2</v>
      </c>
      <c r="I19" s="15">
        <v>120.6</v>
      </c>
      <c r="J19" s="15">
        <v>176.1</v>
      </c>
      <c r="K19" s="15">
        <v>159.4</v>
      </c>
      <c r="L19" s="15">
        <v>123.7</v>
      </c>
      <c r="M19" s="15">
        <v>221.4</v>
      </c>
      <c r="N19" s="15">
        <v>123.3</v>
      </c>
      <c r="O19" s="15">
        <v>190</v>
      </c>
      <c r="P19" s="18">
        <f t="shared" si="1"/>
        <v>1859.1000000000001</v>
      </c>
      <c r="Q19" s="15">
        <v>178.4</v>
      </c>
      <c r="R19" s="15">
        <v>158.6</v>
      </c>
      <c r="S19" s="15">
        <v>164.9</v>
      </c>
      <c r="T19" s="15">
        <v>136.1</v>
      </c>
      <c r="U19" s="15">
        <v>193.7</v>
      </c>
      <c r="V19" s="15">
        <v>186.7</v>
      </c>
      <c r="W19" s="15">
        <v>234.7</v>
      </c>
      <c r="X19" s="15">
        <v>180.6</v>
      </c>
      <c r="Y19" s="15">
        <v>129.30000000000001</v>
      </c>
      <c r="Z19" s="15">
        <v>154.19999999999999</v>
      </c>
      <c r="AA19" s="15">
        <v>141.9</v>
      </c>
      <c r="AB19" s="15"/>
      <c r="AC19" s="15">
        <f t="shared" si="7"/>
        <v>250.89999999999986</v>
      </c>
      <c r="AD19" s="22">
        <f t="shared" si="8"/>
        <v>0.15601293371471198</v>
      </c>
      <c r="AE19" s="11"/>
    </row>
    <row r="20" spans="1:31" x14ac:dyDescent="0.2">
      <c r="A20" s="4" t="s">
        <v>20</v>
      </c>
      <c r="B20" s="14">
        <v>14513.8</v>
      </c>
      <c r="C20" s="14">
        <f t="shared" si="3"/>
        <v>13534.199999999997</v>
      </c>
      <c r="D20" s="14">
        <f>SUM(D21:D24)</f>
        <v>1038</v>
      </c>
      <c r="E20" s="14">
        <f t="shared" ref="E20:O20" si="16">SUM(E21:E24)</f>
        <v>1180.7</v>
      </c>
      <c r="F20" s="14">
        <f t="shared" si="16"/>
        <v>1310.8</v>
      </c>
      <c r="G20" s="14">
        <f t="shared" si="16"/>
        <v>1295.3999999999999</v>
      </c>
      <c r="H20" s="14">
        <f t="shared" si="16"/>
        <v>1396.3000000000002</v>
      </c>
      <c r="I20" s="14">
        <f t="shared" si="16"/>
        <v>1463.8999999999999</v>
      </c>
      <c r="J20" s="14">
        <f t="shared" si="16"/>
        <v>1235.6000000000001</v>
      </c>
      <c r="K20" s="14">
        <f t="shared" si="16"/>
        <v>1179.8</v>
      </c>
      <c r="L20" s="14">
        <f t="shared" si="16"/>
        <v>1221.5</v>
      </c>
      <c r="M20" s="14">
        <f t="shared" si="16"/>
        <v>1008.9000000000001</v>
      </c>
      <c r="N20" s="14">
        <f t="shared" si="16"/>
        <v>1203.3</v>
      </c>
      <c r="O20" s="14">
        <f t="shared" si="16"/>
        <v>900.48400000000026</v>
      </c>
      <c r="P20" s="14">
        <f t="shared" si="1"/>
        <v>12662.360526999999</v>
      </c>
      <c r="Q20" s="14">
        <f>SUM(Q21:Q24)</f>
        <v>1116.1000000000001</v>
      </c>
      <c r="R20" s="14">
        <f t="shared" ref="R20:AB20" si="17">SUM(R21:R24)</f>
        <v>828.19999999999993</v>
      </c>
      <c r="S20" s="14">
        <f t="shared" si="17"/>
        <v>1364.860527</v>
      </c>
      <c r="T20" s="14">
        <f t="shared" si="17"/>
        <v>1041.2</v>
      </c>
      <c r="U20" s="14">
        <f t="shared" si="17"/>
        <v>1364.7999999999997</v>
      </c>
      <c r="V20" s="14">
        <f t="shared" si="17"/>
        <v>1360.4</v>
      </c>
      <c r="W20" s="14">
        <f t="shared" si="17"/>
        <v>1175.8999999999999</v>
      </c>
      <c r="X20" s="14">
        <f t="shared" si="17"/>
        <v>992.59999999999991</v>
      </c>
      <c r="Y20" s="14">
        <f t="shared" si="17"/>
        <v>1095.4000000000001</v>
      </c>
      <c r="Z20" s="14">
        <f t="shared" si="17"/>
        <v>1201.4000000000001</v>
      </c>
      <c r="AA20" s="14">
        <f t="shared" si="17"/>
        <v>1121.5</v>
      </c>
      <c r="AB20" s="14">
        <f t="shared" si="17"/>
        <v>0</v>
      </c>
      <c r="AC20" s="14">
        <f t="shared" si="7"/>
        <v>-871.83947299999818</v>
      </c>
      <c r="AD20" s="21">
        <f t="shared" si="8"/>
        <v>-6.4417510676656048E-2</v>
      </c>
      <c r="AE20" s="11"/>
    </row>
    <row r="21" spans="1:31" x14ac:dyDescent="0.2">
      <c r="A21" s="5" t="s">
        <v>21</v>
      </c>
      <c r="B21" s="18">
        <v>12756.8</v>
      </c>
      <c r="C21" s="15">
        <f t="shared" si="3"/>
        <v>11910.8</v>
      </c>
      <c r="D21" s="15">
        <v>906</v>
      </c>
      <c r="E21" s="18">
        <v>1052.9000000000001</v>
      </c>
      <c r="F21" s="15">
        <v>1168.5</v>
      </c>
      <c r="G21" s="15">
        <f>971.6+186</f>
        <v>1157.5999999999999</v>
      </c>
      <c r="H21" s="15">
        <v>1245.8</v>
      </c>
      <c r="I21" s="15">
        <v>1317.6</v>
      </c>
      <c r="J21" s="15">
        <f>254.3+829.6</f>
        <v>1083.9000000000001</v>
      </c>
      <c r="K21" s="15">
        <v>1040</v>
      </c>
      <c r="L21" s="15">
        <v>1060</v>
      </c>
      <c r="M21" s="15">
        <f>666.7+180.1</f>
        <v>846.80000000000007</v>
      </c>
      <c r="N21" s="15">
        <f>825.3+206.4</f>
        <v>1031.7</v>
      </c>
      <c r="O21" s="15">
        <v>715.47000000000025</v>
      </c>
      <c r="P21" s="18">
        <f t="shared" si="1"/>
        <v>10937.160527000002</v>
      </c>
      <c r="Q21" s="15">
        <v>962.90000000000009</v>
      </c>
      <c r="R21" s="18">
        <v>717.4</v>
      </c>
      <c r="S21" s="15">
        <f>[19]объемы!$AH$25+[19]объемы!$AH$45</f>
        <v>1228.5605270000001</v>
      </c>
      <c r="T21" s="15">
        <f>764.2+135.6</f>
        <v>899.80000000000007</v>
      </c>
      <c r="U21" s="15">
        <v>1184.3</v>
      </c>
      <c r="V21" s="15">
        <v>1198</v>
      </c>
      <c r="W21" s="15">
        <f>830.1+184.1</f>
        <v>1014.2</v>
      </c>
      <c r="X21" s="15">
        <v>825.3</v>
      </c>
      <c r="Y21" s="15">
        <f>692.1+264.8</f>
        <v>956.90000000000009</v>
      </c>
      <c r="Z21" s="15">
        <f>841+206.2</f>
        <v>1047.2</v>
      </c>
      <c r="AA21" s="15">
        <f>740.1+162.5</f>
        <v>902.6</v>
      </c>
      <c r="AB21" s="15"/>
      <c r="AC21" s="15">
        <f t="shared" si="7"/>
        <v>-973.63947299999745</v>
      </c>
      <c r="AD21" s="22">
        <f t="shared" si="8"/>
        <v>-8.1744255045840541E-2</v>
      </c>
      <c r="AE21" s="11"/>
    </row>
    <row r="22" spans="1:31" x14ac:dyDescent="0.2">
      <c r="A22" s="5" t="s">
        <v>22</v>
      </c>
      <c r="B22" s="18">
        <v>580.4</v>
      </c>
      <c r="C22" s="15">
        <f t="shared" si="3"/>
        <v>550.29999999999995</v>
      </c>
      <c r="D22" s="15">
        <v>30</v>
      </c>
      <c r="E22" s="15">
        <v>30.5</v>
      </c>
      <c r="F22" s="15">
        <v>46.8</v>
      </c>
      <c r="G22" s="15">
        <v>50.3</v>
      </c>
      <c r="H22" s="15">
        <v>55.2</v>
      </c>
      <c r="I22" s="15">
        <v>36.200000000000003</v>
      </c>
      <c r="J22" s="15">
        <v>44.9</v>
      </c>
      <c r="K22" s="15">
        <v>61.3</v>
      </c>
      <c r="L22" s="15">
        <v>64.400000000000006</v>
      </c>
      <c r="M22" s="15">
        <v>67.7</v>
      </c>
      <c r="N22" s="15">
        <v>63</v>
      </c>
      <c r="O22" s="15">
        <v>65.599999999999909</v>
      </c>
      <c r="P22" s="18">
        <f t="shared" si="1"/>
        <v>382.09999999999991</v>
      </c>
      <c r="Q22" s="15">
        <v>34</v>
      </c>
      <c r="R22" s="15">
        <v>21.8</v>
      </c>
      <c r="S22" s="15">
        <v>29.3</v>
      </c>
      <c r="T22" s="15">
        <v>29.6</v>
      </c>
      <c r="U22" s="15">
        <v>28.6</v>
      </c>
      <c r="V22" s="15">
        <v>25.6</v>
      </c>
      <c r="W22" s="15">
        <v>35.6</v>
      </c>
      <c r="X22" s="15">
        <v>46.3</v>
      </c>
      <c r="Y22" s="15">
        <v>44.9</v>
      </c>
      <c r="Z22" s="15">
        <v>40</v>
      </c>
      <c r="AA22" s="15">
        <v>46.4</v>
      </c>
      <c r="AB22" s="15"/>
      <c r="AC22" s="15">
        <f t="shared" si="7"/>
        <v>-168.20000000000005</v>
      </c>
      <c r="AD22" s="22">
        <f t="shared" si="8"/>
        <v>-0.30565146283845185</v>
      </c>
      <c r="AE22" s="11"/>
    </row>
    <row r="23" spans="1:31" x14ac:dyDescent="0.2">
      <c r="A23" s="5" t="s">
        <v>23</v>
      </c>
      <c r="B23" s="18">
        <v>1104.0999999999999</v>
      </c>
      <c r="C23" s="15">
        <f t="shared" si="3"/>
        <v>1032.9000000000001</v>
      </c>
      <c r="D23" s="15">
        <v>88</v>
      </c>
      <c r="E23" s="15">
        <v>94.7</v>
      </c>
      <c r="F23" s="15">
        <v>94.7</v>
      </c>
      <c r="G23" s="15">
        <v>82.5</v>
      </c>
      <c r="H23" s="15">
        <v>91.4</v>
      </c>
      <c r="I23" s="15">
        <v>105.1</v>
      </c>
      <c r="J23" s="15">
        <v>106.5</v>
      </c>
      <c r="K23" s="15">
        <v>78.5</v>
      </c>
      <c r="L23" s="15">
        <v>97.1</v>
      </c>
      <c r="M23" s="15">
        <v>94.4</v>
      </c>
      <c r="N23" s="15">
        <v>100</v>
      </c>
      <c r="O23" s="15">
        <v>91.560000000000045</v>
      </c>
      <c r="P23" s="18">
        <f t="shared" si="1"/>
        <v>1089.0999999999999</v>
      </c>
      <c r="Q23" s="15">
        <v>104.9</v>
      </c>
      <c r="R23" s="15">
        <v>76.5</v>
      </c>
      <c r="S23" s="15">
        <v>99.6</v>
      </c>
      <c r="T23" s="15">
        <v>94.3</v>
      </c>
      <c r="U23" s="15">
        <v>105.8</v>
      </c>
      <c r="V23" s="15">
        <v>85.4</v>
      </c>
      <c r="W23" s="15">
        <v>103.3</v>
      </c>
      <c r="X23" s="15">
        <v>111.9</v>
      </c>
      <c r="Y23" s="15">
        <v>86.5</v>
      </c>
      <c r="Z23" s="15">
        <v>84.5</v>
      </c>
      <c r="AA23" s="15">
        <v>136.4</v>
      </c>
      <c r="AB23" s="15"/>
      <c r="AC23" s="15">
        <f t="shared" si="7"/>
        <v>56.199999999999818</v>
      </c>
      <c r="AD23" s="22">
        <f t="shared" si="8"/>
        <v>5.4409913834833783E-2</v>
      </c>
      <c r="AE23" s="11"/>
    </row>
    <row r="24" spans="1:31" x14ac:dyDescent="0.2">
      <c r="A24" s="5" t="s">
        <v>24</v>
      </c>
      <c r="B24" s="18">
        <v>72.5</v>
      </c>
      <c r="C24" s="15">
        <f t="shared" si="3"/>
        <v>40.200000000000003</v>
      </c>
      <c r="D24" s="15">
        <v>14</v>
      </c>
      <c r="E24" s="15">
        <v>2.6</v>
      </c>
      <c r="F24" s="15">
        <v>0.8</v>
      </c>
      <c r="G24" s="15">
        <v>5</v>
      </c>
      <c r="H24" s="15">
        <v>3.9</v>
      </c>
      <c r="I24" s="15">
        <v>5</v>
      </c>
      <c r="J24" s="15">
        <v>0.3</v>
      </c>
      <c r="K24" s="15">
        <v>0</v>
      </c>
      <c r="L24" s="15">
        <v>0</v>
      </c>
      <c r="M24" s="15">
        <v>0</v>
      </c>
      <c r="N24" s="15">
        <v>8.6</v>
      </c>
      <c r="O24" s="15">
        <v>27.853999999999992</v>
      </c>
      <c r="P24" s="18">
        <f t="shared" si="1"/>
        <v>254</v>
      </c>
      <c r="Q24" s="15">
        <v>14.3</v>
      </c>
      <c r="R24" s="15">
        <v>12.5</v>
      </c>
      <c r="S24" s="15">
        <v>7.4</v>
      </c>
      <c r="T24" s="15">
        <v>17.5</v>
      </c>
      <c r="U24" s="15">
        <v>46.1</v>
      </c>
      <c r="V24" s="15">
        <v>51.4</v>
      </c>
      <c r="W24" s="15">
        <v>22.8</v>
      </c>
      <c r="X24" s="15">
        <v>9.1</v>
      </c>
      <c r="Y24" s="15">
        <v>7.1</v>
      </c>
      <c r="Z24" s="15">
        <v>29.7</v>
      </c>
      <c r="AA24" s="15">
        <v>36.1</v>
      </c>
      <c r="AB24" s="15"/>
      <c r="AC24" s="15">
        <f t="shared" si="7"/>
        <v>213.8</v>
      </c>
      <c r="AD24" s="22">
        <f t="shared" si="8"/>
        <v>5.3184079601990053</v>
      </c>
      <c r="AE24" s="11"/>
    </row>
    <row r="25" spans="1:31" x14ac:dyDescent="0.2">
      <c r="A25" s="4" t="s">
        <v>25</v>
      </c>
      <c r="B25" s="14">
        <v>5332.15</v>
      </c>
      <c r="C25" s="14">
        <f t="shared" si="3"/>
        <v>4814.8999999999996</v>
      </c>
      <c r="D25" s="14">
        <v>439</v>
      </c>
      <c r="E25" s="14">
        <f>E26+E27</f>
        <v>418.20000000000005</v>
      </c>
      <c r="F25" s="14">
        <v>479</v>
      </c>
      <c r="G25" s="14">
        <f t="shared" ref="G25:L25" si="18">G26+G27</f>
        <v>491.59999999999997</v>
      </c>
      <c r="H25" s="14">
        <f t="shared" si="18"/>
        <v>476.4</v>
      </c>
      <c r="I25" s="14">
        <f t="shared" si="18"/>
        <v>437.2</v>
      </c>
      <c r="J25" s="14">
        <f t="shared" si="18"/>
        <v>397.1</v>
      </c>
      <c r="K25" s="14">
        <f t="shared" si="18"/>
        <v>445.5</v>
      </c>
      <c r="L25" s="14">
        <f t="shared" si="18"/>
        <v>376.5</v>
      </c>
      <c r="M25" s="14">
        <f>M26+M27</f>
        <v>437.70000000000005</v>
      </c>
      <c r="N25" s="14">
        <f>N26+N27</f>
        <v>416.70000000000005</v>
      </c>
      <c r="O25" s="14">
        <v>523.54899999999998</v>
      </c>
      <c r="P25" s="14">
        <f t="shared" si="1"/>
        <v>5395.3600000000006</v>
      </c>
      <c r="Q25" s="14">
        <f>Q26+Q27</f>
        <v>450.5</v>
      </c>
      <c r="R25" s="14">
        <f t="shared" ref="R25:AB25" si="19">R26+R27</f>
        <v>410.2</v>
      </c>
      <c r="S25" s="14">
        <f t="shared" si="19"/>
        <v>548.46</v>
      </c>
      <c r="T25" s="14">
        <f t="shared" si="19"/>
        <v>557</v>
      </c>
      <c r="U25" s="14">
        <f t="shared" si="19"/>
        <v>587.9</v>
      </c>
      <c r="V25" s="14">
        <f t="shared" si="19"/>
        <v>569.5</v>
      </c>
      <c r="W25" s="14">
        <f t="shared" si="19"/>
        <v>412.8</v>
      </c>
      <c r="X25" s="14">
        <f t="shared" si="19"/>
        <v>509.6</v>
      </c>
      <c r="Y25" s="14">
        <f t="shared" si="19"/>
        <v>339.70000000000005</v>
      </c>
      <c r="Z25" s="14">
        <f t="shared" si="19"/>
        <v>523.6</v>
      </c>
      <c r="AA25" s="14">
        <f t="shared" si="19"/>
        <v>486.09999999999997</v>
      </c>
      <c r="AB25" s="14">
        <f t="shared" si="19"/>
        <v>0</v>
      </c>
      <c r="AC25" s="14">
        <f t="shared" si="7"/>
        <v>580.46000000000095</v>
      </c>
      <c r="AD25" s="21">
        <f t="shared" si="8"/>
        <v>0.12055494402791356</v>
      </c>
      <c r="AE25" s="11"/>
    </row>
    <row r="26" spans="1:31" x14ac:dyDescent="0.2">
      <c r="A26" s="6" t="s">
        <v>26</v>
      </c>
      <c r="B26" s="16">
        <v>4624.1000000000004</v>
      </c>
      <c r="C26" s="16">
        <f t="shared" si="3"/>
        <v>4176.9000000000005</v>
      </c>
      <c r="D26" s="16">
        <v>391</v>
      </c>
      <c r="E26" s="16">
        <v>355.1</v>
      </c>
      <c r="F26" s="16">
        <v>427.3</v>
      </c>
      <c r="G26" s="16">
        <f>161.7+281.2</f>
        <v>442.9</v>
      </c>
      <c r="H26" s="16">
        <v>403.8</v>
      </c>
      <c r="I26" s="16">
        <v>382</v>
      </c>
      <c r="J26" s="16">
        <v>332</v>
      </c>
      <c r="K26" s="16">
        <v>374.9</v>
      </c>
      <c r="L26" s="16">
        <v>314.2</v>
      </c>
      <c r="M26" s="16">
        <f>216.6+161.5</f>
        <v>378.1</v>
      </c>
      <c r="N26" s="16">
        <f>199.3+176.3</f>
        <v>375.6</v>
      </c>
      <c r="O26" s="16">
        <v>469.64899999999989</v>
      </c>
      <c r="P26" s="16">
        <f t="shared" si="1"/>
        <v>4516.0599999999995</v>
      </c>
      <c r="Q26" s="16">
        <f>[18]объемы!$AE$28+[18]объемы!$AE$29</f>
        <v>396.2</v>
      </c>
      <c r="R26" s="16">
        <v>356</v>
      </c>
      <c r="S26" s="16">
        <f>[19]объемы!$AH$30+[19]объемы!$AH$31</f>
        <v>461.56</v>
      </c>
      <c r="T26" s="16">
        <f>243.1+231.3</f>
        <v>474.4</v>
      </c>
      <c r="U26" s="16">
        <v>500.5</v>
      </c>
      <c r="V26" s="16">
        <v>459.7</v>
      </c>
      <c r="W26" s="16">
        <f>153+182.6</f>
        <v>335.6</v>
      </c>
      <c r="X26" s="16">
        <v>395.1</v>
      </c>
      <c r="Y26" s="16">
        <f>127.2+130.9</f>
        <v>258.10000000000002</v>
      </c>
      <c r="Z26" s="16">
        <f>227+225.7</f>
        <v>452.7</v>
      </c>
      <c r="AA26" s="16">
        <f>191.6+234.6</f>
        <v>426.2</v>
      </c>
      <c r="AB26" s="16"/>
      <c r="AC26" s="15">
        <f t="shared" si="7"/>
        <v>339.15999999999894</v>
      </c>
      <c r="AD26" s="22">
        <f t="shared" si="8"/>
        <v>8.119897531662211E-2</v>
      </c>
      <c r="AE26" s="11"/>
    </row>
    <row r="27" spans="1:31" x14ac:dyDescent="0.2">
      <c r="A27" s="6" t="s">
        <v>27</v>
      </c>
      <c r="B27" s="16">
        <v>708.05</v>
      </c>
      <c r="C27" s="16">
        <f t="shared" si="3"/>
        <v>637.5</v>
      </c>
      <c r="D27" s="16">
        <v>48</v>
      </c>
      <c r="E27" s="16">
        <v>63.1</v>
      </c>
      <c r="F27" s="16">
        <v>51.2</v>
      </c>
      <c r="G27" s="16">
        <v>48.7</v>
      </c>
      <c r="H27" s="16">
        <v>72.599999999999994</v>
      </c>
      <c r="I27" s="16">
        <v>55.2</v>
      </c>
      <c r="J27" s="16">
        <v>65.099999999999994</v>
      </c>
      <c r="K27" s="16">
        <v>70.599999999999994</v>
      </c>
      <c r="L27" s="16">
        <v>62.3</v>
      </c>
      <c r="M27" s="16">
        <v>59.6</v>
      </c>
      <c r="N27" s="16">
        <v>41.1</v>
      </c>
      <c r="O27" s="16">
        <v>53.900000000000091</v>
      </c>
      <c r="P27" s="16">
        <f t="shared" si="1"/>
        <v>879.3</v>
      </c>
      <c r="Q27" s="16">
        <f>[18]объемы!$AE$30</f>
        <v>54.3</v>
      </c>
      <c r="R27" s="16">
        <v>54.2</v>
      </c>
      <c r="S27" s="16">
        <v>86.9</v>
      </c>
      <c r="T27" s="16">
        <v>82.6</v>
      </c>
      <c r="U27" s="16">
        <v>87.4</v>
      </c>
      <c r="V27" s="16">
        <v>109.8</v>
      </c>
      <c r="W27" s="16">
        <v>77.2</v>
      </c>
      <c r="X27" s="16">
        <v>114.5</v>
      </c>
      <c r="Y27" s="16">
        <v>81.599999999999994</v>
      </c>
      <c r="Z27" s="16">
        <v>70.900000000000006</v>
      </c>
      <c r="AA27" s="16">
        <v>59.9</v>
      </c>
      <c r="AB27" s="16"/>
      <c r="AC27" s="15">
        <f t="shared" si="7"/>
        <v>241.79999999999995</v>
      </c>
      <c r="AD27" s="22">
        <f t="shared" si="8"/>
        <v>0.37929411764705873</v>
      </c>
      <c r="AE27" s="11"/>
    </row>
    <row r="28" spans="1:31" x14ac:dyDescent="0.2">
      <c r="A28" s="9" t="s">
        <v>28</v>
      </c>
      <c r="B28" s="15">
        <v>483.84000000000003</v>
      </c>
      <c r="C28" s="16">
        <f t="shared" si="3"/>
        <v>436.30000000000007</v>
      </c>
      <c r="D28" s="15">
        <v>42</v>
      </c>
      <c r="E28" s="15">
        <f>E29+E30</f>
        <v>39.299999999999997</v>
      </c>
      <c r="F28" s="15">
        <v>46.300000000000004</v>
      </c>
      <c r="G28" s="15">
        <f>G29+G30</f>
        <v>42.5</v>
      </c>
      <c r="H28" s="15">
        <f>H29+H30</f>
        <v>40</v>
      </c>
      <c r="I28" s="15">
        <f>I29+I30</f>
        <v>41.900000000000006</v>
      </c>
      <c r="J28" s="15">
        <f>34</f>
        <v>34</v>
      </c>
      <c r="K28" s="15">
        <f>K29+K30</f>
        <v>36.6</v>
      </c>
      <c r="L28" s="15">
        <f>L29+L30</f>
        <v>33.099999999999994</v>
      </c>
      <c r="M28" s="15">
        <f>M29+M30</f>
        <v>35.6</v>
      </c>
      <c r="N28" s="15">
        <f>N30+N29</f>
        <v>45</v>
      </c>
      <c r="O28" s="15">
        <v>49.999999999999986</v>
      </c>
      <c r="P28" s="15">
        <f t="shared" si="1"/>
        <v>536.45699999999999</v>
      </c>
      <c r="Q28" s="15">
        <f>Q29+Q30</f>
        <v>44.337000000000003</v>
      </c>
      <c r="R28" s="15">
        <f t="shared" ref="R28:AB28" si="20">R29+R30</f>
        <v>39.9</v>
      </c>
      <c r="S28" s="15">
        <f t="shared" si="20"/>
        <v>54.22</v>
      </c>
      <c r="T28" s="15">
        <f t="shared" si="20"/>
        <v>54</v>
      </c>
      <c r="U28" s="15">
        <f t="shared" si="20"/>
        <v>59.5</v>
      </c>
      <c r="V28" s="15">
        <f t="shared" si="20"/>
        <v>58.5</v>
      </c>
      <c r="W28" s="15">
        <f t="shared" si="20"/>
        <v>43.5</v>
      </c>
      <c r="X28" s="15">
        <f t="shared" si="20"/>
        <v>50.099999999999994</v>
      </c>
      <c r="Y28" s="15">
        <f t="shared" si="20"/>
        <v>34.700000000000003</v>
      </c>
      <c r="Z28" s="15">
        <f t="shared" si="20"/>
        <v>48.9</v>
      </c>
      <c r="AA28" s="15">
        <f t="shared" si="20"/>
        <v>48.8</v>
      </c>
      <c r="AB28" s="15">
        <f t="shared" si="20"/>
        <v>0</v>
      </c>
      <c r="AC28" s="15">
        <f t="shared" si="7"/>
        <v>100.15699999999993</v>
      </c>
      <c r="AD28" s="22">
        <f t="shared" si="8"/>
        <v>0.22955993582397413</v>
      </c>
      <c r="AE28" s="11"/>
    </row>
    <row r="29" spans="1:31" x14ac:dyDescent="0.2">
      <c r="A29" s="6" t="s">
        <v>29</v>
      </c>
      <c r="B29" s="16">
        <v>380.14</v>
      </c>
      <c r="C29" s="16">
        <f t="shared" si="3"/>
        <v>337.5</v>
      </c>
      <c r="D29" s="15">
        <v>35</v>
      </c>
      <c r="E29" s="16">
        <v>29.7</v>
      </c>
      <c r="F29" s="16">
        <v>33.5</v>
      </c>
      <c r="G29" s="15">
        <f>10.8+27</f>
        <v>37.799999999999997</v>
      </c>
      <c r="H29" s="16">
        <v>31.6</v>
      </c>
      <c r="I29" s="16">
        <v>33.200000000000003</v>
      </c>
      <c r="J29" s="16">
        <v>25</v>
      </c>
      <c r="K29" s="16">
        <v>26.1</v>
      </c>
      <c r="L29" s="16">
        <v>22.4</v>
      </c>
      <c r="M29" s="16">
        <f>14.5+11</f>
        <v>25.5</v>
      </c>
      <c r="N29" s="16">
        <f>16.9+20.8</f>
        <v>37.700000000000003</v>
      </c>
      <c r="O29" s="16">
        <v>42.199999999999989</v>
      </c>
      <c r="P29" s="16">
        <f t="shared" si="1"/>
        <v>383.85700000000003</v>
      </c>
      <c r="Q29" s="15">
        <f>[18]объемы!$AE$76+[18]объемы!$AE$77</f>
        <v>35.137</v>
      </c>
      <c r="R29" s="16">
        <v>31</v>
      </c>
      <c r="S29" s="16">
        <f>[19]объемы!$AH$79+[19]объемы!$AH$80</f>
        <v>40.92</v>
      </c>
      <c r="T29" s="15">
        <f>19.4+21.3</f>
        <v>40.700000000000003</v>
      </c>
      <c r="U29" s="16">
        <v>42.6</v>
      </c>
      <c r="V29" s="16">
        <v>38.700000000000003</v>
      </c>
      <c r="W29" s="16">
        <f>13.6+16.6</f>
        <v>30.200000000000003</v>
      </c>
      <c r="X29" s="16">
        <v>29.9</v>
      </c>
      <c r="Y29" s="16">
        <f>11.1+9.5</f>
        <v>20.6</v>
      </c>
      <c r="Z29" s="16">
        <f>17.8+18.7</f>
        <v>36.5</v>
      </c>
      <c r="AA29" s="16">
        <f>17.6+20</f>
        <v>37.6</v>
      </c>
      <c r="AB29" s="16"/>
      <c r="AC29" s="15">
        <f t="shared" si="7"/>
        <v>46.357000000000028</v>
      </c>
      <c r="AD29" s="22">
        <f t="shared" si="8"/>
        <v>0.13735407407407416</v>
      </c>
      <c r="AE29" s="11"/>
    </row>
    <row r="30" spans="1:31" x14ac:dyDescent="0.2">
      <c r="A30" s="6" t="s">
        <v>30</v>
      </c>
      <c r="B30" s="16">
        <v>103.7</v>
      </c>
      <c r="C30" s="16">
        <f t="shared" si="3"/>
        <v>93.1</v>
      </c>
      <c r="D30" s="16">
        <v>7.4</v>
      </c>
      <c r="E30" s="16">
        <v>9.6</v>
      </c>
      <c r="F30" s="16">
        <v>6.6</v>
      </c>
      <c r="G30" s="16">
        <v>4.7</v>
      </c>
      <c r="H30" s="16">
        <v>8.4</v>
      </c>
      <c r="I30" s="16">
        <v>8.6999999999999993</v>
      </c>
      <c r="J30" s="16">
        <v>9.1</v>
      </c>
      <c r="K30" s="16">
        <v>10.5</v>
      </c>
      <c r="L30" s="16">
        <v>10.7</v>
      </c>
      <c r="M30" s="16">
        <v>10.1</v>
      </c>
      <c r="N30" s="16">
        <v>7.3</v>
      </c>
      <c r="O30" s="16">
        <v>7.7999999999999972</v>
      </c>
      <c r="P30" s="16">
        <f t="shared" si="1"/>
        <v>152.6</v>
      </c>
      <c r="Q30" s="16">
        <f>[18]объемы!$AE$78</f>
        <v>9.1999999999999993</v>
      </c>
      <c r="R30" s="16">
        <v>8.9</v>
      </c>
      <c r="S30" s="16">
        <v>13.3</v>
      </c>
      <c r="T30" s="16">
        <v>13.3</v>
      </c>
      <c r="U30" s="16">
        <v>16.899999999999999</v>
      </c>
      <c r="V30" s="16">
        <v>19.8</v>
      </c>
      <c r="W30" s="16">
        <v>13.3</v>
      </c>
      <c r="X30" s="16">
        <v>20.2</v>
      </c>
      <c r="Y30" s="16">
        <v>14.1</v>
      </c>
      <c r="Z30" s="16">
        <v>12.4</v>
      </c>
      <c r="AA30" s="16">
        <v>11.2</v>
      </c>
      <c r="AB30" s="16"/>
      <c r="AC30" s="15">
        <f t="shared" si="7"/>
        <v>59.5</v>
      </c>
      <c r="AD30" s="22">
        <f t="shared" si="8"/>
        <v>0.63909774436090228</v>
      </c>
      <c r="AE30" s="11"/>
    </row>
    <row r="31" spans="1:31" x14ac:dyDescent="0.2">
      <c r="A31" s="4" t="s">
        <v>31</v>
      </c>
      <c r="B31" s="14">
        <v>463.15</v>
      </c>
      <c r="C31" s="14">
        <f t="shared" si="3"/>
        <v>457.29999999999995</v>
      </c>
      <c r="D31" s="14">
        <v>44</v>
      </c>
      <c r="E31" s="14">
        <v>27.7</v>
      </c>
      <c r="F31" s="14">
        <v>29</v>
      </c>
      <c r="G31" s="14">
        <f>34.6+5.6</f>
        <v>40.200000000000003</v>
      </c>
      <c r="H31" s="14">
        <v>31.2</v>
      </c>
      <c r="I31" s="14">
        <v>32.1</v>
      </c>
      <c r="J31" s="14">
        <v>67</v>
      </c>
      <c r="K31" s="14">
        <v>94.1</v>
      </c>
      <c r="L31" s="14">
        <v>76.099999999999994</v>
      </c>
      <c r="M31" s="14">
        <v>6.9</v>
      </c>
      <c r="N31" s="14">
        <v>9</v>
      </c>
      <c r="O31" s="14">
        <v>25.370000000000005</v>
      </c>
      <c r="P31" s="14">
        <f t="shared" si="1"/>
        <v>406.90000000000003</v>
      </c>
      <c r="Q31" s="14">
        <v>13.4</v>
      </c>
      <c r="R31" s="14">
        <v>14.3</v>
      </c>
      <c r="S31" s="14">
        <v>21.4</v>
      </c>
      <c r="T31" s="14">
        <f>13.1+21.6</f>
        <v>34.700000000000003</v>
      </c>
      <c r="U31" s="14">
        <v>66</v>
      </c>
      <c r="V31" s="14">
        <v>40.6</v>
      </c>
      <c r="W31" s="14">
        <f>11.5+1.1+18.1</f>
        <v>30.700000000000003</v>
      </c>
      <c r="X31" s="14">
        <v>42.1</v>
      </c>
      <c r="Y31" s="14">
        <f>18.5+1.9+19.3</f>
        <v>39.700000000000003</v>
      </c>
      <c r="Z31" s="14">
        <f>15.9+4.8+3.6</f>
        <v>24.3</v>
      </c>
      <c r="AA31" s="14">
        <f>18.6+61.1</f>
        <v>79.7</v>
      </c>
      <c r="AB31" s="14"/>
      <c r="AC31" s="14">
        <f t="shared" si="7"/>
        <v>-50.39999999999992</v>
      </c>
      <c r="AD31" s="21">
        <f t="shared" si="8"/>
        <v>-0.11021211458561103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2017-12-18T12:12:48Z</dcterms:modified>
</cp:coreProperties>
</file>