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орлов ПК\Диск D\Горлов\DoCuMeNTs\ЕКД\Факторный анализ грузоперевалки\Пресс-релизы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T29" i="1" l="1"/>
  <c r="T26" i="1"/>
  <c r="T21" i="1"/>
  <c r="T15" i="1"/>
  <c r="T10" i="1"/>
  <c r="T6" i="1" s="1"/>
  <c r="T5" i="1" s="1"/>
  <c r="T7" i="1"/>
  <c r="O12" i="1" l="1"/>
  <c r="S32" i="1"/>
  <c r="S29" i="1"/>
  <c r="S26" i="1"/>
  <c r="S21" i="1"/>
  <c r="S19" i="1"/>
  <c r="S15" i="1"/>
  <c r="S10" i="1"/>
  <c r="S7" i="1"/>
  <c r="S6" i="1" s="1"/>
  <c r="S5" i="1" s="1"/>
  <c r="O13" i="1" l="1"/>
  <c r="AA1" i="1" l="1"/>
  <c r="S1" i="1"/>
  <c r="T1" i="1"/>
  <c r="U1" i="1"/>
  <c r="V1" i="1"/>
  <c r="W1" i="1"/>
  <c r="X1" i="1"/>
  <c r="Y1" i="1"/>
  <c r="Z1" i="1"/>
  <c r="N32" i="1" l="1"/>
  <c r="M32" i="1"/>
  <c r="L32" i="1"/>
  <c r="K32" i="1"/>
  <c r="I32" i="1"/>
  <c r="F32" i="1"/>
  <c r="N30" i="1"/>
  <c r="M30" i="1"/>
  <c r="L30" i="1"/>
  <c r="K30" i="1"/>
  <c r="I30" i="1"/>
  <c r="I29" i="1" s="1"/>
  <c r="F30" i="1"/>
  <c r="E29" i="1"/>
  <c r="C29" i="1"/>
  <c r="N29" i="1"/>
  <c r="M29" i="1"/>
  <c r="L29" i="1"/>
  <c r="K29" i="1"/>
  <c r="J29" i="1"/>
  <c r="H29" i="1"/>
  <c r="G29" i="1"/>
  <c r="F29" i="1"/>
  <c r="D29" i="1"/>
  <c r="N27" i="1"/>
  <c r="M27" i="1"/>
  <c r="L27" i="1"/>
  <c r="K27" i="1"/>
  <c r="I27" i="1"/>
  <c r="F27" i="1"/>
  <c r="E26" i="1"/>
  <c r="C26" i="1"/>
  <c r="N26" i="1"/>
  <c r="M26" i="1"/>
  <c r="L26" i="1"/>
  <c r="K26" i="1"/>
  <c r="J26" i="1"/>
  <c r="I26" i="1"/>
  <c r="H26" i="1"/>
  <c r="G26" i="1"/>
  <c r="F26" i="1"/>
  <c r="D26" i="1"/>
  <c r="N22" i="1"/>
  <c r="M22" i="1"/>
  <c r="L22" i="1"/>
  <c r="L21" i="1" s="1"/>
  <c r="L5" i="1" s="1"/>
  <c r="K22" i="1"/>
  <c r="I22" i="1"/>
  <c r="F22" i="1"/>
  <c r="E22" i="1"/>
  <c r="E21" i="1" s="1"/>
  <c r="N21" i="1"/>
  <c r="M21" i="1"/>
  <c r="K21" i="1"/>
  <c r="J21" i="1"/>
  <c r="I21" i="1"/>
  <c r="H21" i="1"/>
  <c r="G21" i="1"/>
  <c r="F21" i="1"/>
  <c r="D21" i="1"/>
  <c r="C21" i="1"/>
  <c r="N15" i="1"/>
  <c r="M15" i="1"/>
  <c r="L15" i="1"/>
  <c r="K15" i="1"/>
  <c r="J15" i="1"/>
  <c r="J5" i="1" s="1"/>
  <c r="I15" i="1"/>
  <c r="H15" i="1"/>
  <c r="G15" i="1"/>
  <c r="F15" i="1"/>
  <c r="F5" i="1" s="1"/>
  <c r="E15" i="1"/>
  <c r="D15" i="1"/>
  <c r="C15" i="1"/>
  <c r="N12" i="1"/>
  <c r="N10" i="1" s="1"/>
  <c r="N6" i="1" s="1"/>
  <c r="N5" i="1" s="1"/>
  <c r="M12" i="1"/>
  <c r="L12" i="1"/>
  <c r="K12" i="1"/>
  <c r="K10" i="1" s="1"/>
  <c r="I12" i="1"/>
  <c r="I10" i="1" s="1"/>
  <c r="I6" i="1" s="1"/>
  <c r="I5" i="1" s="1"/>
  <c r="N11" i="1"/>
  <c r="M11" i="1"/>
  <c r="M10" i="1" s="1"/>
  <c r="M6" i="1" s="1"/>
  <c r="M5" i="1" s="1"/>
  <c r="L11" i="1"/>
  <c r="K11" i="1"/>
  <c r="I11" i="1"/>
  <c r="E10" i="1"/>
  <c r="E6" i="1" s="1"/>
  <c r="E5" i="1" s="1"/>
  <c r="C10" i="1"/>
  <c r="C6" i="1" s="1"/>
  <c r="L10" i="1"/>
  <c r="J10" i="1"/>
  <c r="H10" i="1"/>
  <c r="G10" i="1"/>
  <c r="F10" i="1"/>
  <c r="D10" i="1"/>
  <c r="D6" i="1" s="1"/>
  <c r="D5" i="1" s="1"/>
  <c r="N7" i="1"/>
  <c r="M7" i="1"/>
  <c r="L7" i="1"/>
  <c r="K7" i="1"/>
  <c r="J7" i="1"/>
  <c r="I7" i="1"/>
  <c r="H7" i="1"/>
  <c r="G7" i="1"/>
  <c r="F7" i="1"/>
  <c r="E7" i="1"/>
  <c r="D7" i="1"/>
  <c r="C7" i="1"/>
  <c r="L6" i="1"/>
  <c r="J6" i="1"/>
  <c r="H6" i="1"/>
  <c r="G6" i="1"/>
  <c r="F6" i="1"/>
  <c r="H5" i="1"/>
  <c r="G5" i="1"/>
  <c r="C5" i="1" l="1"/>
  <c r="K6" i="1"/>
  <c r="K5" i="1" s="1"/>
  <c r="X10" i="1" l="1"/>
  <c r="O25" i="1" l="1"/>
  <c r="O24" i="1"/>
  <c r="O23" i="1"/>
  <c r="O22" i="1"/>
  <c r="O20" i="1"/>
  <c r="O19" i="1"/>
  <c r="O18" i="1"/>
  <c r="O17" i="1"/>
  <c r="O16" i="1"/>
  <c r="O14" i="1"/>
  <c r="O9" i="1"/>
  <c r="O8" i="1"/>
  <c r="O21" i="1" l="1"/>
  <c r="O15" i="1"/>
  <c r="O7" i="1"/>
  <c r="O31" i="1" l="1"/>
  <c r="O30" i="1"/>
  <c r="O28" i="1"/>
  <c r="O29" i="1" l="1"/>
  <c r="O27" i="1"/>
  <c r="O26" i="1" s="1"/>
  <c r="V29" i="1" l="1"/>
  <c r="V26" i="1"/>
  <c r="V10" i="1"/>
  <c r="V7" i="1"/>
  <c r="V6" i="1" l="1"/>
  <c r="U21" i="1"/>
  <c r="V21" i="1"/>
  <c r="W21" i="1"/>
  <c r="X21" i="1"/>
  <c r="Y21" i="1"/>
  <c r="Z21" i="1"/>
  <c r="AA21" i="1"/>
  <c r="O32" i="1"/>
  <c r="U15" i="1"/>
  <c r="V15" i="1"/>
  <c r="W15" i="1"/>
  <c r="X15" i="1"/>
  <c r="Y15" i="1"/>
  <c r="Z15" i="1"/>
  <c r="AA15" i="1"/>
  <c r="V5" i="1" l="1"/>
  <c r="AA10" i="1" l="1"/>
  <c r="Z10" i="1"/>
  <c r="Y10" i="1"/>
  <c r="W10" i="1"/>
  <c r="U10" i="1"/>
  <c r="AA29" i="1"/>
  <c r="Z29" i="1"/>
  <c r="Y29" i="1"/>
  <c r="X29" i="1"/>
  <c r="W29" i="1"/>
  <c r="U29" i="1"/>
  <c r="AA26" i="1"/>
  <c r="Z26" i="1"/>
  <c r="Y26" i="1"/>
  <c r="X26" i="1"/>
  <c r="W26" i="1"/>
  <c r="U26" i="1"/>
  <c r="AA7" i="1"/>
  <c r="Z7" i="1"/>
  <c r="Y7" i="1"/>
  <c r="X7" i="1"/>
  <c r="W7" i="1"/>
  <c r="U7" i="1"/>
  <c r="AA6" i="1" l="1"/>
  <c r="AA5" i="1" s="1"/>
  <c r="W6" i="1"/>
  <c r="W5" i="1" s="1"/>
  <c r="X6" i="1"/>
  <c r="X5" i="1" s="1"/>
  <c r="Z6" i="1"/>
  <c r="Z5" i="1" s="1"/>
  <c r="U6" i="1"/>
  <c r="U5" i="1" s="1"/>
  <c r="Y6" i="1"/>
  <c r="Y5" i="1" s="1"/>
  <c r="R1" i="1"/>
  <c r="Q1" i="1" l="1"/>
  <c r="O11" i="1" l="1"/>
  <c r="O10" i="1" s="1"/>
  <c r="O6" i="1" s="1"/>
  <c r="O5" i="1" s="1"/>
  <c r="P1" i="1" l="1"/>
  <c r="B32" i="1" s="1"/>
  <c r="AB32" i="1" s="1"/>
  <c r="B8" i="1" l="1"/>
  <c r="AC32" i="1"/>
  <c r="B27" i="1"/>
  <c r="B22" i="1"/>
  <c r="B17" i="1"/>
  <c r="AB17" i="1" s="1"/>
  <c r="AC17" i="1" s="1"/>
  <c r="B12" i="1"/>
  <c r="AB12" i="1" s="1"/>
  <c r="AC12" i="1" s="1"/>
  <c r="B18" i="1"/>
  <c r="AB18" i="1" s="1"/>
  <c r="AC18" i="1" s="1"/>
  <c r="B31" i="1"/>
  <c r="AB31" i="1" s="1"/>
  <c r="AC31" i="1" s="1"/>
  <c r="B25" i="1"/>
  <c r="AB25" i="1" s="1"/>
  <c r="AC25" i="1" s="1"/>
  <c r="B20" i="1"/>
  <c r="AB20" i="1" s="1"/>
  <c r="AC20" i="1" s="1"/>
  <c r="B16" i="1"/>
  <c r="B11" i="1"/>
  <c r="B28" i="1"/>
  <c r="AB28" i="1" s="1"/>
  <c r="AC28" i="1" s="1"/>
  <c r="B13" i="1"/>
  <c r="AB13" i="1" s="1"/>
  <c r="AC13" i="1" s="1"/>
  <c r="B30" i="1"/>
  <c r="B24" i="1"/>
  <c r="AB24" i="1" s="1"/>
  <c r="AC24" i="1" s="1"/>
  <c r="B19" i="1"/>
  <c r="AB19" i="1" s="1"/>
  <c r="AC19" i="1" s="1"/>
  <c r="B14" i="1"/>
  <c r="AB14" i="1" s="1"/>
  <c r="AC14" i="1" s="1"/>
  <c r="B9" i="1"/>
  <c r="AB9" i="1" s="1"/>
  <c r="AC9" i="1" s="1"/>
  <c r="B23" i="1"/>
  <c r="AB23" i="1" s="1"/>
  <c r="AC23" i="1" s="1"/>
  <c r="AB22" i="1" l="1"/>
  <c r="AC22" i="1" s="1"/>
  <c r="B21" i="1"/>
  <c r="AB21" i="1" s="1"/>
  <c r="AC21" i="1" s="1"/>
  <c r="AB30" i="1"/>
  <c r="AC30" i="1" s="1"/>
  <c r="B29" i="1"/>
  <c r="AB29" i="1" s="1"/>
  <c r="AC29" i="1" s="1"/>
  <c r="AB16" i="1"/>
  <c r="AC16" i="1" s="1"/>
  <c r="B15" i="1"/>
  <c r="AB15" i="1" s="1"/>
  <c r="AC15" i="1" s="1"/>
  <c r="AB27" i="1"/>
  <c r="AC27" i="1" s="1"/>
  <c r="B26" i="1"/>
  <c r="AB26" i="1" s="1"/>
  <c r="AC26" i="1" s="1"/>
  <c r="AB11" i="1"/>
  <c r="AC11" i="1" s="1"/>
  <c r="B10" i="1"/>
  <c r="AB10" i="1" s="1"/>
  <c r="AC10" i="1" s="1"/>
  <c r="AB8" i="1"/>
  <c r="AC8" i="1" s="1"/>
  <c r="B7" i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<sst xmlns="http://schemas.openxmlformats.org/spreadsheetml/2006/main" count="57" uniqueCount="45">
  <si>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</si>
  <si>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</si>
  <si>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</si>
  <si>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</si>
  <si>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</si>
  <si>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</si>
  <si>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</si>
  <si>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</si>
  <si>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</si>
  <si>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</si>
  <si>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</si>
  <si>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</si>
  <si>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</si>
  <si>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</si>
  <si>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</si>
  <si>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</si>
  <si>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</si>
  <si>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</si>
  <si>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</si>
  <si>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</si>
  <si>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</si>
  <si>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</si>
  <si>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</si>
  <si>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</si>
  <si>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</si>
  <si>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</si>
  <si>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</si>
  <si>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</si>
  <si>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</si>
  <si>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</si>
  <si>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</si>
  <si>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</si>
  <si>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</si>
  <si>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</si>
  <si>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</si>
  <si>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</si>
  <si>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</si>
  <si>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</si>
  <si>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</si>
  <si>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</si>
  <si>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</si>
  <si>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NCSP Group Cargo Turnover for 05M 2018, thousand tonnes</t>
  </si>
  <si>
    <t>Iron ore</t>
  </si>
  <si>
    <t>05M 2017</t>
  </si>
  <si>
    <t>05M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</si>
</sst>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</cellStyleXfs>
  <cellXfs count="47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6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3" fontId="51" fillId="32" borderId="37" xfId="0" applyNumberFormat="1" applyFont="1" applyFill="1" applyBorder="1" applyAlignment="1">
      <alignment horizontal="center" vertical="center"/>
    </xf>
    <xf numFmtId="3" fontId="51" fillId="32" borderId="34" xfId="0" applyNumberFormat="1" applyFont="1" applyFill="1" applyBorder="1" applyAlignment="1">
      <alignment horizontal="center" vertical="center"/>
    </xf>
    <xf numFmtId="3" fontId="51" fillId="32" borderId="22" xfId="0" applyNumberFormat="1" applyFont="1" applyFill="1" applyBorder="1" applyAlignment="1">
      <alignment horizontal="center" vertical="center"/>
    </xf>
    <xf numFmtId="3" fontId="51" fillId="32" borderId="31" xfId="0" applyNumberFormat="1" applyFont="1" applyFill="1" applyBorder="1" applyAlignment="1">
      <alignment horizontal="center" vertical="center"/>
    </xf>
    <xf numFmtId="169" fontId="48" fillId="34" borderId="25" xfId="800" applyNumberFormat="1" applyFont="1" applyFill="1" applyBorder="1" applyAlignment="1">
      <alignment horizontal="center"/>
    </xf>
    <xf numFmtId="181" fontId="49" fillId="0" borderId="0" xfId="0" applyNumberFormat="1" applyFont="1"/>
    <xf numFmtId="9" fontId="49" fillId="0" borderId="0" xfId="800" applyFont="1"/>
    <xf numFmtId="3" fontId="52" fillId="33" borderId="37" xfId="907" applyNumberFormat="1" applyFont="1" applyFill="1" applyBorder="1" applyAlignment="1">
      <alignment horizontal="center"/>
    </xf>
    <xf numFmtId="3" fontId="52" fillId="33" borderId="34" xfId="907" applyNumberFormat="1" applyFont="1" applyFill="1" applyBorder="1" applyAlignment="1">
      <alignment horizontal="center"/>
    </xf>
    <xf numFmtId="3" fontId="52" fillId="33" borderId="22" xfId="907" applyNumberFormat="1" applyFont="1" applyFill="1" applyBorder="1" applyAlignment="1">
      <alignment horizontal="center"/>
    </xf>
    <xf numFmtId="3" fontId="52" fillId="33" borderId="31" xfId="907" applyNumberFormat="1" applyFont="1" applyFill="1" applyBorder="1" applyAlignment="1">
      <alignment horizontal="center"/>
    </xf>
    <xf numFmtId="169" fontId="52" fillId="33" borderId="26" xfId="800" applyNumberFormat="1" applyFont="1" applyFill="1" applyBorder="1" applyAlignment="1">
      <alignment horizontal="center"/>
    </xf>
    <xf numFmtId="3" fontId="50" fillId="0" borderId="37" xfId="907" applyNumberFormat="1" applyFont="1" applyBorder="1" applyAlignment="1">
      <alignment horizontal="center"/>
    </xf>
    <xf numFmtId="3" fontId="49" fillId="0" borderId="34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3" fontId="49" fillId="0" borderId="31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7" xfId="907" applyNumberFormat="1" applyFont="1" applyBorder="1" applyAlignment="1">
      <alignment horizontal="center"/>
    </xf>
    <xf numFmtId="3" fontId="53" fillId="0" borderId="34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3" fontId="53" fillId="0" borderId="31" xfId="907" applyNumberFormat="1" applyFont="1" applyBorder="1" applyAlignment="1">
      <alignment horizontal="center"/>
    </xf>
    <xf numFmtId="0" fontId="53" fillId="0" borderId="0" xfId="0" applyFont="1"/>
    <xf numFmtId="3" fontId="52" fillId="33" borderId="38" xfId="907" applyNumberFormat="1" applyFont="1" applyFill="1" applyBorder="1" applyAlignment="1">
      <alignment horizontal="center"/>
    </xf>
    <xf numFmtId="3" fontId="52" fillId="33" borderId="35" xfId="907" applyNumberFormat="1" applyFont="1" applyFill="1" applyBorder="1" applyAlignment="1">
      <alignment horizontal="center"/>
    </xf>
    <xf numFmtId="3" fontId="52" fillId="33" borderId="27" xfId="907" applyNumberFormat="1" applyFont="1" applyFill="1" applyBorder="1" applyAlignment="1">
      <alignment horizontal="center"/>
    </xf>
    <xf numFmtId="3" fontId="52" fillId="33" borderId="32" xfId="907" applyNumberFormat="1" applyFont="1" applyFill="1" applyBorder="1" applyAlignment="1">
      <alignment horizontal="center"/>
    </xf>
    <xf numFmtId="169" fontId="52" fillId="33" borderId="28" xfId="800" applyNumberFormat="1" applyFont="1" applyFill="1" applyBorder="1" applyAlignment="1">
      <alignment horizontal="center"/>
    </xf>
    <xf numFmtId="0" fontId="55" fillId="0" borderId="0" xfId="0" applyFont="1"/>
    <xf numFmtId="0" fontId="51" fillId="32" borderId="39" xfId="0" applyFont="1" applyFill="1" applyBorder="1" applyAlignment="1">
      <alignment horizontal="left" vertical="center"/>
    </xf>
    <xf numFmtId="0" fontId="52" fillId="33" borderId="39" xfId="0" applyFont="1" applyFill="1" applyBorder="1"/>
    <xf numFmtId="0" fontId="49" fillId="0" borderId="39" xfId="0" applyFont="1" applyBorder="1"/>
    <xf numFmtId="0" fontId="53" fillId="0" borderId="39" xfId="0" applyFont="1" applyBorder="1" applyAlignment="1">
      <alignment horizontal="right"/>
    </xf>
    <xf numFmtId="0" fontId="49" fillId="0" borderId="39" xfId="0" applyFont="1" applyBorder="1" applyAlignment="1">
      <alignment horizontal="left"/>
    </xf>
    <xf numFmtId="0" fontId="52" fillId="33" borderId="40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Shchur\NCSP\2017\&#1055;&#1088;&#1077;&#1089;&#1089;_&#1088;&#1077;&#1083;&#1080;&#1079;&#1099;_2017\&#1043;&#1088;&#1091;&#1079;&#1086;&#1086;&#1073;&#1086;&#1088;&#1086;&#1090;_03_2017\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 refreshError="1">
        <row r="11">
          <cell r="AH11">
            <v>610.2399999999999</v>
          </cell>
        </row>
        <row r="25">
          <cell r="AH25">
            <v>946.77052700000002</v>
          </cell>
        </row>
        <row r="45">
          <cell r="AH45">
            <v>281.78999999999996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2"/>
  <sheetViews>
    <sheetView tabSelected="1" zoomScale="85" zoomScaleNormal="85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H19" sqref="AH19"/>
    </sheetView>
  </sheetViews>
  <sheetFormatPr defaultRowHeight="19.5" outlineLevelCol="1" x14ac:dyDescent="0.35"/>
  <cols>
    <col min="1" max="1" width="48.5703125" style="1" customWidth="1"/>
    <col min="2" max="2" width="15" style="2" bestFit="1" customWidth="1"/>
    <col min="3" max="3" width="10.7109375" style="3" hidden="1" customWidth="1"/>
    <col min="4" max="4" width="11.140625" style="3" hidden="1" customWidth="1"/>
    <col min="5" max="6" width="11.7109375" style="3" customWidth="1"/>
    <col min="7" max="7" width="10.7109375" style="3" customWidth="1" collapsed="1"/>
    <col min="8" max="10" width="10.7109375" style="3" hidden="1" customWidth="1" outlineLevel="1"/>
    <col min="11" max="11" width="12" style="3" hidden="1" customWidth="1" outlineLevel="1"/>
    <col min="12" max="12" width="10.7109375" style="3" hidden="1" customWidth="1" outlineLevel="1"/>
    <col min="13" max="13" width="10.7109375" style="3" hidden="1" customWidth="1" outlineLevel="1" collapsed="1"/>
    <col min="14" max="14" width="10.85546875" style="3" hidden="1" customWidth="1" outlineLevel="1"/>
    <col min="15" max="15" width="15" style="2" bestFit="1" customWidth="1"/>
    <col min="16" max="16" width="10.7109375" style="3" hidden="1" customWidth="1"/>
    <col min="17" max="17" width="11.140625" style="3" hidden="1" customWidth="1"/>
    <col min="18" max="18" width="11.85546875" style="3" customWidth="1"/>
    <col min="19" max="19" width="10.7109375" style="3" bestFit="1" customWidth="1"/>
    <col min="20" max="20" width="10.7109375" style="3" bestFit="1" customWidth="1" collapsed="1"/>
    <col min="21" max="21" width="6.85546875" style="3" hidden="1" customWidth="1" outlineLevel="1"/>
    <col min="22" max="22" width="5.85546875" style="3" hidden="1" customWidth="1" outlineLevel="1"/>
    <col min="23" max="23" width="9.42578125" style="3" hidden="1" customWidth="1" outlineLevel="1"/>
    <col min="24" max="24" width="14.140625" style="3" hidden="1" customWidth="1" outlineLevel="1"/>
    <col min="25" max="25" width="10.28515625" style="3" hidden="1" customWidth="1" outlineLevel="1"/>
    <col min="26" max="26" width="13.140625" style="3" hidden="1" customWidth="1" outlineLevel="1"/>
    <col min="27" max="27" width="13" style="3" hidden="1" customWidth="1" outlineLevel="1"/>
    <col min="28" max="29" width="15.5703125" style="3" bestFit="1" customWidth="1"/>
    <col min="30" max="30" width="3.85546875" style="1" customWidth="1"/>
    <col min="31" max="31" width="9.140625" style="1" customWidth="1"/>
    <col min="32" max="32" width="9.140625" style="1"/>
    <col min="33" max="33" width="4.140625" style="1" customWidth="1"/>
    <col min="34" max="16384" width="9.140625" style="1"/>
  </cols>
  <sheetData>
    <row r="1" spans="1:35" ht="24.75" hidden="1" customHeight="1" x14ac:dyDescent="0.35">
      <c r="P1" s="4">
        <f>IF(P5=0,0,1)</f>
        <v>1</v>
      </c>
      <c r="Q1" s="4">
        <f t="shared" ref="Q1:Z1" si="0">IF(Q5=0,0,1)</f>
        <v>1</v>
      </c>
      <c r="R1" s="4">
        <f t="shared" si="0"/>
        <v>1</v>
      </c>
      <c r="S1" s="4">
        <f t="shared" si="0"/>
        <v>1</v>
      </c>
      <c r="T1" s="4">
        <f t="shared" si="0"/>
        <v>1</v>
      </c>
      <c r="U1" s="4">
        <f t="shared" si="0"/>
        <v>0</v>
      </c>
      <c r="V1" s="4">
        <f t="shared" si="0"/>
        <v>0</v>
      </c>
      <c r="W1" s="4">
        <f t="shared" si="0"/>
        <v>0</v>
      </c>
      <c r="X1" s="4">
        <f t="shared" si="0"/>
        <v>0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37" t="s">
        <v>41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43</v>
      </c>
      <c r="C4" s="44" t="s">
        <v>27</v>
      </c>
      <c r="D4" s="44" t="s">
        <v>28</v>
      </c>
      <c r="E4" s="44" t="s">
        <v>29</v>
      </c>
      <c r="F4" s="44" t="s">
        <v>30</v>
      </c>
      <c r="G4" s="44" t="s">
        <v>31</v>
      </c>
      <c r="H4" s="44" t="s">
        <v>32</v>
      </c>
      <c r="I4" s="44" t="s">
        <v>33</v>
      </c>
      <c r="J4" s="44" t="s">
        <v>34</v>
      </c>
      <c r="K4" s="44" t="s">
        <v>35</v>
      </c>
      <c r="L4" s="44" t="s">
        <v>36</v>
      </c>
      <c r="M4" s="44" t="s">
        <v>37</v>
      </c>
      <c r="N4" s="45" t="s">
        <v>38</v>
      </c>
      <c r="O4" s="6" t="s">
        <v>44</v>
      </c>
      <c r="P4" s="46" t="s">
        <v>27</v>
      </c>
      <c r="Q4" s="44" t="s">
        <v>28</v>
      </c>
      <c r="R4" s="44" t="s">
        <v>29</v>
      </c>
      <c r="S4" s="44" t="s">
        <v>30</v>
      </c>
      <c r="T4" s="44" t="s">
        <v>31</v>
      </c>
      <c r="U4" s="44" t="s">
        <v>32</v>
      </c>
      <c r="V4" s="44" t="s">
        <v>33</v>
      </c>
      <c r="W4" s="44" t="s">
        <v>34</v>
      </c>
      <c r="X4" s="44" t="s">
        <v>35</v>
      </c>
      <c r="Y4" s="44" t="s">
        <v>36</v>
      </c>
      <c r="Z4" s="44" t="s">
        <v>37</v>
      </c>
      <c r="AA4" s="44" t="s">
        <v>38</v>
      </c>
      <c r="AB4" s="7" t="s">
        <v>39</v>
      </c>
      <c r="AC4" s="8" t="s">
        <v>40</v>
      </c>
    </row>
    <row r="5" spans="1:35" x14ac:dyDescent="0.35">
      <c r="A5" s="38" t="s">
        <v>0</v>
      </c>
      <c r="B5" s="10">
        <f>B6+B15+B21+B26+B32</f>
        <v>63468.686526999998</v>
      </c>
      <c r="C5" s="11">
        <f>C6+C15+C21+C26+C32</f>
        <v>12669.5</v>
      </c>
      <c r="D5" s="12">
        <f t="shared" ref="D5:N5" si="1">D6+D15+D21+D26+D32</f>
        <v>11129.9</v>
      </c>
      <c r="E5" s="12">
        <f t="shared" si="1"/>
        <v>13463.722905000001</v>
      </c>
      <c r="F5" s="12">
        <f t="shared" si="1"/>
        <v>13314.863622000001</v>
      </c>
      <c r="G5" s="12">
        <f t="shared" si="1"/>
        <v>12890.699999999999</v>
      </c>
      <c r="H5" s="12">
        <f t="shared" si="1"/>
        <v>10610.3</v>
      </c>
      <c r="I5" s="12">
        <f t="shared" si="1"/>
        <v>11124</v>
      </c>
      <c r="J5" s="12">
        <f t="shared" si="1"/>
        <v>11848.900000000001</v>
      </c>
      <c r="K5" s="12">
        <f t="shared" si="1"/>
        <v>10689.7</v>
      </c>
      <c r="L5" s="12">
        <f t="shared" si="1"/>
        <v>12050.099999999999</v>
      </c>
      <c r="M5" s="12">
        <f t="shared" si="1"/>
        <v>11609.9</v>
      </c>
      <c r="N5" s="13">
        <f t="shared" si="1"/>
        <v>12115.400000000001</v>
      </c>
      <c r="O5" s="10">
        <f>O6+O15+O21+O26+O32</f>
        <v>59249.75541999827</v>
      </c>
      <c r="P5" s="11">
        <v>11675.645011027273</v>
      </c>
      <c r="Q5" s="12">
        <v>10627.729358905</v>
      </c>
      <c r="R5" s="12">
        <v>12703.795617829999</v>
      </c>
      <c r="S5" s="12">
        <f t="shared" ref="S5:T5" si="2">S6+S15+S21+S26+S32</f>
        <v>12479.781110017273</v>
      </c>
      <c r="T5" s="12">
        <f t="shared" si="2"/>
        <v>11762.804322218726</v>
      </c>
      <c r="U5" s="12">
        <f t="shared" ref="U5:AA5" si="3">U6+U15+U21+U26+U32</f>
        <v>0</v>
      </c>
      <c r="V5" s="12">
        <f t="shared" si="3"/>
        <v>0</v>
      </c>
      <c r="W5" s="12">
        <f t="shared" si="3"/>
        <v>0</v>
      </c>
      <c r="X5" s="12">
        <f t="shared" si="3"/>
        <v>0</v>
      </c>
      <c r="Y5" s="12">
        <f t="shared" si="3"/>
        <v>0</v>
      </c>
      <c r="Z5" s="12">
        <f t="shared" si="3"/>
        <v>0</v>
      </c>
      <c r="AA5" s="12">
        <f t="shared" si="3"/>
        <v>0</v>
      </c>
      <c r="AB5" s="12">
        <f>O5-B5</f>
        <v>-4218.9311070017284</v>
      </c>
      <c r="AC5" s="14">
        <f>AB5/B5</f>
        <v>-6.6472639310204834E-2</v>
      </c>
      <c r="AD5" s="15"/>
      <c r="AE5" s="3"/>
      <c r="AF5" s="16"/>
      <c r="AH5" s="3"/>
      <c r="AI5" s="16"/>
    </row>
    <row r="6" spans="1:35" x14ac:dyDescent="0.35">
      <c r="A6" s="39" t="s">
        <v>1</v>
      </c>
      <c r="B6" s="17">
        <f>B7+B10+B13+B14</f>
        <v>48581.866000000002</v>
      </c>
      <c r="C6" s="18">
        <f>C7+C10+C13+C14</f>
        <v>9786.1</v>
      </c>
      <c r="D6" s="19">
        <f t="shared" ref="D6:N6" si="4">D7+D10+D13+D14</f>
        <v>8780.2999999999993</v>
      </c>
      <c r="E6" s="19">
        <f t="shared" si="4"/>
        <v>10038.302378</v>
      </c>
      <c r="F6" s="19">
        <f t="shared" si="4"/>
        <v>10205.563622</v>
      </c>
      <c r="G6" s="19">
        <f t="shared" si="4"/>
        <v>9771.6</v>
      </c>
      <c r="H6" s="19">
        <f t="shared" si="4"/>
        <v>7800.1999999999989</v>
      </c>
      <c r="I6" s="19">
        <f t="shared" si="4"/>
        <v>8160.9000000000005</v>
      </c>
      <c r="J6" s="19">
        <f t="shared" si="4"/>
        <v>8542.9</v>
      </c>
      <c r="K6" s="19">
        <f t="shared" si="4"/>
        <v>7713.2999999999993</v>
      </c>
      <c r="L6" s="19">
        <f t="shared" si="4"/>
        <v>8641.4</v>
      </c>
      <c r="M6" s="19">
        <f t="shared" si="4"/>
        <v>8113.5999999999985</v>
      </c>
      <c r="N6" s="20">
        <f t="shared" si="4"/>
        <v>8511.6</v>
      </c>
      <c r="O6" s="17">
        <f>O7+O10+O13+O14</f>
        <v>42469.935096999994</v>
      </c>
      <c r="P6" s="18">
        <v>8769.611465</v>
      </c>
      <c r="Q6" s="19">
        <v>7485.7409230000003</v>
      </c>
      <c r="R6" s="19">
        <v>8908.9405179999976</v>
      </c>
      <c r="S6" s="19">
        <f t="shared" ref="S6:T6" si="5">S7+S10+S13+S14</f>
        <v>8794.2220560000005</v>
      </c>
      <c r="T6" s="19">
        <f t="shared" si="5"/>
        <v>8511.4201349999985</v>
      </c>
      <c r="U6" s="19">
        <f t="shared" ref="U6:AA6" si="6">U7+U10+U13+U14</f>
        <v>0</v>
      </c>
      <c r="V6" s="19">
        <f t="shared" si="6"/>
        <v>0</v>
      </c>
      <c r="W6" s="19">
        <f t="shared" si="6"/>
        <v>0</v>
      </c>
      <c r="X6" s="19">
        <f t="shared" si="6"/>
        <v>0</v>
      </c>
      <c r="Y6" s="19">
        <f t="shared" si="6"/>
        <v>0</v>
      </c>
      <c r="Z6" s="19">
        <f t="shared" si="6"/>
        <v>0</v>
      </c>
      <c r="AA6" s="19">
        <f t="shared" si="6"/>
        <v>0</v>
      </c>
      <c r="AB6" s="19">
        <f t="shared" ref="AB6:AB31" si="7">O6-B6</f>
        <v>-6111.9309030000077</v>
      </c>
      <c r="AC6" s="21">
        <f t="shared" ref="AC6:AC32" si="8">AB6/B6</f>
        <v>-0.12580683712313576</v>
      </c>
      <c r="AD6" s="15"/>
      <c r="AE6" s="3"/>
      <c r="AF6" s="16"/>
      <c r="AH6" s="3"/>
      <c r="AI6" s="16"/>
    </row>
    <row r="7" spans="1:35" x14ac:dyDescent="0.35">
      <c r="A7" s="40" t="s">
        <v>2</v>
      </c>
      <c r="B7" s="22">
        <f>B8+B9</f>
        <v>34074.300000000003</v>
      </c>
      <c r="C7" s="23">
        <f>C8+C9</f>
        <v>6633</v>
      </c>
      <c r="D7" s="24">
        <f t="shared" ref="D7:N7" si="9">D8+D9</f>
        <v>6111.7</v>
      </c>
      <c r="E7" s="24">
        <f t="shared" si="9"/>
        <v>6844.0999999999995</v>
      </c>
      <c r="F7" s="24">
        <f t="shared" si="9"/>
        <v>7358.9</v>
      </c>
      <c r="G7" s="24">
        <f t="shared" si="9"/>
        <v>7126.6</v>
      </c>
      <c r="H7" s="24">
        <f t="shared" si="9"/>
        <v>5342.7</v>
      </c>
      <c r="I7" s="24">
        <f t="shared" si="9"/>
        <v>5686.2000000000007</v>
      </c>
      <c r="J7" s="24">
        <f t="shared" si="9"/>
        <v>6018.4</v>
      </c>
      <c r="K7" s="24">
        <f t="shared" si="9"/>
        <v>5829.4</v>
      </c>
      <c r="L7" s="24">
        <f t="shared" si="9"/>
        <v>6545.2999999999993</v>
      </c>
      <c r="M7" s="24">
        <f t="shared" si="9"/>
        <v>5849.9</v>
      </c>
      <c r="N7" s="25">
        <f t="shared" si="9"/>
        <v>5403</v>
      </c>
      <c r="O7" s="22">
        <f>O8+O9</f>
        <v>27148.813801999997</v>
      </c>
      <c r="P7" s="23">
        <v>5501.6803159999999</v>
      </c>
      <c r="Q7" s="24">
        <v>4473.9287969999996</v>
      </c>
      <c r="R7" s="24">
        <v>5634.4984389999991</v>
      </c>
      <c r="S7" s="24">
        <f t="shared" ref="S7:T7" si="10">S8+S9</f>
        <v>5868.5549869999995</v>
      </c>
      <c r="T7" s="24">
        <f t="shared" si="10"/>
        <v>5670.1512629999997</v>
      </c>
      <c r="U7" s="24">
        <f t="shared" ref="U7:AA7" si="11">U8+U9</f>
        <v>0</v>
      </c>
      <c r="V7" s="24">
        <f t="shared" si="11"/>
        <v>0</v>
      </c>
      <c r="W7" s="24">
        <f t="shared" si="11"/>
        <v>0</v>
      </c>
      <c r="X7" s="24">
        <f t="shared" si="11"/>
        <v>0</v>
      </c>
      <c r="Y7" s="24">
        <f t="shared" si="11"/>
        <v>0</v>
      </c>
      <c r="Z7" s="24">
        <f t="shared" si="11"/>
        <v>0</v>
      </c>
      <c r="AA7" s="24">
        <f t="shared" si="11"/>
        <v>0</v>
      </c>
      <c r="AB7" s="24">
        <f>O7-B7</f>
        <v>-6925.486198000006</v>
      </c>
      <c r="AC7" s="26">
        <f t="shared" si="8"/>
        <v>-0.20324661689308379</v>
      </c>
      <c r="AD7" s="15"/>
      <c r="AE7" s="3"/>
      <c r="AF7" s="16"/>
      <c r="AH7" s="3"/>
      <c r="AI7" s="16"/>
    </row>
    <row r="8" spans="1:35" s="31" customFormat="1" x14ac:dyDescent="0.35">
      <c r="A8" s="41" t="s">
        <v>3</v>
      </c>
      <c r="B8" s="27">
        <f>SUMIF($P$1:$AA$1,1,C8:N8)</f>
        <v>12881.9</v>
      </c>
      <c r="C8" s="28">
        <v>2334</v>
      </c>
      <c r="D8" s="29">
        <v>2019</v>
      </c>
      <c r="E8" s="29">
        <v>2643.2</v>
      </c>
      <c r="F8" s="29">
        <v>2859.2</v>
      </c>
      <c r="G8" s="29">
        <v>3026.5</v>
      </c>
      <c r="H8" s="29">
        <v>2630</v>
      </c>
      <c r="I8" s="29">
        <v>2480.9</v>
      </c>
      <c r="J8" s="29">
        <v>2717.1</v>
      </c>
      <c r="K8" s="29">
        <v>2128.8000000000002</v>
      </c>
      <c r="L8" s="29">
        <v>2643.6</v>
      </c>
      <c r="M8" s="29">
        <v>3038.2</v>
      </c>
      <c r="N8" s="30">
        <v>2187.9</v>
      </c>
      <c r="O8" s="27">
        <f t="shared" ref="O8:O32" si="12">SUM(P8:AA8)</f>
        <v>11030.88322</v>
      </c>
      <c r="P8" s="28">
        <v>2101.944</v>
      </c>
      <c r="Q8" s="29">
        <v>2070.1259999999997</v>
      </c>
      <c r="R8" s="29">
        <v>2335.4911199999997</v>
      </c>
      <c r="S8" s="29">
        <v>2260.0960399999999</v>
      </c>
      <c r="T8" s="29">
        <v>2263.22606</v>
      </c>
      <c r="U8" s="29"/>
      <c r="V8" s="29"/>
      <c r="W8" s="29"/>
      <c r="X8" s="29"/>
      <c r="Y8" s="29"/>
      <c r="Z8" s="29"/>
      <c r="AA8" s="29"/>
      <c r="AB8" s="24">
        <f t="shared" si="7"/>
        <v>-1851.0167799999999</v>
      </c>
      <c r="AC8" s="26">
        <f t="shared" si="8"/>
        <v>-0.14369128622330557</v>
      </c>
      <c r="AD8" s="15"/>
      <c r="AE8" s="3"/>
      <c r="AF8" s="16"/>
      <c r="AH8" s="3"/>
      <c r="AI8" s="16"/>
    </row>
    <row r="9" spans="1:35" s="31" customFormat="1" x14ac:dyDescent="0.35">
      <c r="A9" s="41" t="s">
        <v>4</v>
      </c>
      <c r="B9" s="27">
        <f>SUMIF($P$1:$AA$1,1,C9:N9)</f>
        <v>21192.400000000001</v>
      </c>
      <c r="C9" s="28">
        <v>4299</v>
      </c>
      <c r="D9" s="29">
        <v>4092.7</v>
      </c>
      <c r="E9" s="29">
        <v>4200.8999999999996</v>
      </c>
      <c r="F9" s="24">
        <v>4499.7</v>
      </c>
      <c r="G9" s="29">
        <v>4100.1000000000004</v>
      </c>
      <c r="H9" s="29">
        <v>2712.7</v>
      </c>
      <c r="I9" s="29">
        <v>3205.3</v>
      </c>
      <c r="J9" s="29">
        <v>3301.3</v>
      </c>
      <c r="K9" s="29">
        <v>3700.6</v>
      </c>
      <c r="L9" s="29">
        <v>3901.7</v>
      </c>
      <c r="M9" s="29">
        <v>2811.7</v>
      </c>
      <c r="N9" s="30">
        <v>3215.1</v>
      </c>
      <c r="O9" s="27">
        <f t="shared" si="12"/>
        <v>16117.930581999999</v>
      </c>
      <c r="P9" s="28">
        <v>3399.736316</v>
      </c>
      <c r="Q9" s="29">
        <v>2403.8027969999998</v>
      </c>
      <c r="R9" s="29">
        <v>3299.0073189999998</v>
      </c>
      <c r="S9" s="24">
        <v>3608.4589470000001</v>
      </c>
      <c r="T9" s="29">
        <v>3406.9252030000002</v>
      </c>
      <c r="U9" s="29"/>
      <c r="V9" s="29"/>
      <c r="W9" s="29"/>
      <c r="X9" s="29"/>
      <c r="Y9" s="29"/>
      <c r="Z9" s="29"/>
      <c r="AA9" s="29"/>
      <c r="AB9" s="24">
        <f t="shared" si="7"/>
        <v>-5074.4694180000024</v>
      </c>
      <c r="AC9" s="26">
        <f t="shared" si="8"/>
        <v>-0.23944760470734802</v>
      </c>
      <c r="AD9" s="15"/>
      <c r="AE9" s="3"/>
      <c r="AF9" s="16"/>
      <c r="AH9" s="3"/>
      <c r="AI9" s="16"/>
    </row>
    <row r="10" spans="1:35" x14ac:dyDescent="0.35">
      <c r="A10" s="40" t="s">
        <v>5</v>
      </c>
      <c r="B10" s="22">
        <f>B11+B12</f>
        <v>13942.065999999999</v>
      </c>
      <c r="C10" s="23">
        <f>C11+C12</f>
        <v>3039.7</v>
      </c>
      <c r="D10" s="24">
        <f t="shared" ref="D10:N10" si="13">D11+D12</f>
        <v>2561.8000000000002</v>
      </c>
      <c r="E10" s="24">
        <f t="shared" si="13"/>
        <v>3106.702378</v>
      </c>
      <c r="F10" s="24">
        <f t="shared" si="13"/>
        <v>2707.2636219999995</v>
      </c>
      <c r="G10" s="24">
        <f t="shared" si="13"/>
        <v>2526.6000000000004</v>
      </c>
      <c r="H10" s="24">
        <f t="shared" si="13"/>
        <v>2411.6</v>
      </c>
      <c r="I10" s="24">
        <f t="shared" si="13"/>
        <v>2425.3999999999996</v>
      </c>
      <c r="J10" s="24">
        <f t="shared" si="13"/>
        <v>2460.5</v>
      </c>
      <c r="K10" s="24">
        <f t="shared" si="13"/>
        <v>1815.8000000000002</v>
      </c>
      <c r="L10" s="24">
        <f t="shared" si="13"/>
        <v>2015</v>
      </c>
      <c r="M10" s="24">
        <f t="shared" si="13"/>
        <v>2177.2999999999997</v>
      </c>
      <c r="N10" s="25">
        <f t="shared" si="13"/>
        <v>3052.1</v>
      </c>
      <c r="O10" s="22">
        <f>O11+O12</f>
        <v>14817.869345000001</v>
      </c>
      <c r="P10" s="23">
        <v>3151.8441490000005</v>
      </c>
      <c r="Q10" s="24">
        <v>2936.3220260000003</v>
      </c>
      <c r="R10" s="24">
        <v>3179.8640789999999</v>
      </c>
      <c r="S10" s="24">
        <f t="shared" ref="S10:T10" si="14">S11+S12</f>
        <v>2786.9849290000002</v>
      </c>
      <c r="T10" s="24">
        <f t="shared" si="14"/>
        <v>2762.8541620000005</v>
      </c>
      <c r="U10" s="24">
        <f t="shared" ref="U10:AA10" si="15">U11+U12</f>
        <v>0</v>
      </c>
      <c r="V10" s="24">
        <f t="shared" si="15"/>
        <v>0</v>
      </c>
      <c r="W10" s="24">
        <f t="shared" si="15"/>
        <v>0</v>
      </c>
      <c r="X10" s="24">
        <f t="shared" si="15"/>
        <v>0</v>
      </c>
      <c r="Y10" s="24">
        <f t="shared" si="15"/>
        <v>0</v>
      </c>
      <c r="Z10" s="24">
        <f t="shared" si="15"/>
        <v>0</v>
      </c>
      <c r="AA10" s="24">
        <f t="shared" si="15"/>
        <v>0</v>
      </c>
      <c r="AB10" s="24">
        <f t="shared" si="7"/>
        <v>875.80334500000208</v>
      </c>
      <c r="AC10" s="26">
        <f t="shared" si="8"/>
        <v>6.2817328866468014E-2</v>
      </c>
      <c r="AD10" s="15"/>
      <c r="AE10" s="3"/>
      <c r="AF10" s="16"/>
      <c r="AH10" s="3"/>
      <c r="AI10" s="16"/>
    </row>
    <row r="11" spans="1:35" s="31" customFormat="1" x14ac:dyDescent="0.35">
      <c r="A11" s="41" t="s">
        <v>6</v>
      </c>
      <c r="B11" s="27">
        <f t="shared" ref="B11:B31" si="16">SUMIF($P$1:$AA$1,1,C11:N11)</f>
        <v>7653.5560000000005</v>
      </c>
      <c r="C11" s="28">
        <v>1696.7</v>
      </c>
      <c r="D11" s="29">
        <v>1357.6</v>
      </c>
      <c r="E11" s="29">
        <v>1779.4059050000001</v>
      </c>
      <c r="F11" s="29">
        <v>1435.4500949999997</v>
      </c>
      <c r="G11" s="29">
        <v>1384.4</v>
      </c>
      <c r="H11" s="29">
        <v>1240.5999999999999</v>
      </c>
      <c r="I11" s="29">
        <f>459.4+246.4+9.4+346.6+175.7+5.1+59</f>
        <v>1301.5999999999999</v>
      </c>
      <c r="J11" s="29">
        <v>1310.2</v>
      </c>
      <c r="K11" s="29">
        <f>402.2+196.6+15.2+171.6+80.3+2.1+80.7</f>
        <v>948.7</v>
      </c>
      <c r="L11" s="29">
        <f>560.1+172+15.5+299.8+31+3.1+114.1</f>
        <v>1195.5999999999999</v>
      </c>
      <c r="M11" s="29">
        <f>466.8+250.8+15.8+307.2+143.6+0.6+85.8</f>
        <v>1270.5999999999997</v>
      </c>
      <c r="N11" s="30">
        <f>575.4+390+5.4+331.9+436+4.2+35.7</f>
        <v>1778.6</v>
      </c>
      <c r="O11" s="27">
        <f t="shared" si="12"/>
        <v>8280.235517000001</v>
      </c>
      <c r="P11" s="28">
        <v>1680.7614800000001</v>
      </c>
      <c r="Q11" s="29">
        <v>1578.9980870000002</v>
      </c>
      <c r="R11" s="29">
        <v>1767.89627</v>
      </c>
      <c r="S11" s="29">
        <v>1620.39579</v>
      </c>
      <c r="T11" s="29">
        <v>1632.1838900000002</v>
      </c>
      <c r="U11" s="29"/>
      <c r="V11" s="29"/>
      <c r="W11" s="29"/>
      <c r="X11" s="29"/>
      <c r="Y11" s="29"/>
      <c r="Z11" s="29"/>
      <c r="AA11" s="29"/>
      <c r="AB11" s="24">
        <f>O11-B11</f>
        <v>626.67951700000049</v>
      </c>
      <c r="AC11" s="26">
        <f>AB11/B11</f>
        <v>8.1880829904426189E-2</v>
      </c>
      <c r="AD11" s="15"/>
      <c r="AE11" s="3"/>
      <c r="AF11" s="16"/>
      <c r="AH11" s="3"/>
      <c r="AI11" s="16"/>
    </row>
    <row r="12" spans="1:35" s="31" customFormat="1" x14ac:dyDescent="0.35">
      <c r="A12" s="41" t="s">
        <v>7</v>
      </c>
      <c r="B12" s="27">
        <f t="shared" si="16"/>
        <v>6288.5099999999993</v>
      </c>
      <c r="C12" s="28">
        <v>1343</v>
      </c>
      <c r="D12" s="29">
        <v>1204.2</v>
      </c>
      <c r="E12" s="29">
        <v>1327.2964729999999</v>
      </c>
      <c r="F12" s="29">
        <v>1271.8135269999998</v>
      </c>
      <c r="G12" s="29">
        <v>1142.2</v>
      </c>
      <c r="H12" s="29">
        <v>1171</v>
      </c>
      <c r="I12" s="29">
        <f>1121.1+2.7</f>
        <v>1123.8</v>
      </c>
      <c r="J12" s="29">
        <v>1150.3</v>
      </c>
      <c r="K12" s="29">
        <f>865.2+1.9</f>
        <v>867.1</v>
      </c>
      <c r="L12" s="29">
        <f>817+2.4</f>
        <v>819.4</v>
      </c>
      <c r="M12" s="29">
        <f>905.4+1.3</f>
        <v>906.69999999999993</v>
      </c>
      <c r="N12" s="30">
        <f>1269.9+3.6</f>
        <v>1273.5</v>
      </c>
      <c r="O12" s="27">
        <f>SUM(P12:AA12)</f>
        <v>6537.633828</v>
      </c>
      <c r="P12" s="28">
        <v>1471.0826690000001</v>
      </c>
      <c r="Q12" s="29">
        <v>1357.3239390000001</v>
      </c>
      <c r="R12" s="29">
        <v>1411.967809</v>
      </c>
      <c r="S12" s="29">
        <v>1166.5891389999999</v>
      </c>
      <c r="T12" s="29">
        <v>1130.6702720000001</v>
      </c>
      <c r="U12" s="29"/>
      <c r="V12" s="29"/>
      <c r="W12" s="29"/>
      <c r="X12" s="29"/>
      <c r="Y12" s="29"/>
      <c r="Z12" s="29"/>
      <c r="AA12" s="29"/>
      <c r="AB12" s="24">
        <f t="shared" si="7"/>
        <v>249.12382800000069</v>
      </c>
      <c r="AC12" s="26">
        <f t="shared" si="8"/>
        <v>3.9615716282553531E-2</v>
      </c>
      <c r="AD12" s="15"/>
      <c r="AE12" s="3"/>
      <c r="AF12" s="16"/>
      <c r="AH12" s="3"/>
      <c r="AI12" s="16"/>
    </row>
    <row r="13" spans="1:35" x14ac:dyDescent="0.35">
      <c r="A13" s="40" t="s">
        <v>8</v>
      </c>
      <c r="B13" s="22">
        <f t="shared" si="16"/>
        <v>339.4</v>
      </c>
      <c r="C13" s="23">
        <v>78.099999999999994</v>
      </c>
      <c r="D13" s="24">
        <v>53.4</v>
      </c>
      <c r="E13" s="24">
        <v>63.9</v>
      </c>
      <c r="F13" s="24">
        <v>77.400000000000006</v>
      </c>
      <c r="G13" s="24">
        <v>66.599999999999994</v>
      </c>
      <c r="H13" s="24">
        <v>16.399999999999999</v>
      </c>
      <c r="I13" s="24">
        <v>27</v>
      </c>
      <c r="J13" s="24">
        <v>35.799999999999997</v>
      </c>
      <c r="K13" s="24">
        <v>37.4</v>
      </c>
      <c r="L13" s="24">
        <v>65</v>
      </c>
      <c r="M13" s="24">
        <v>46.9</v>
      </c>
      <c r="N13" s="25">
        <v>28.3</v>
      </c>
      <c r="O13" s="27">
        <f>SUM(P13:AA13)</f>
        <v>327.11084000000005</v>
      </c>
      <c r="P13" s="23">
        <v>66.569000000000003</v>
      </c>
      <c r="Q13" s="24">
        <v>39.068899999999999</v>
      </c>
      <c r="R13" s="24">
        <v>75.018659999999997</v>
      </c>
      <c r="S13" s="24">
        <v>82.813479999999998</v>
      </c>
      <c r="T13" s="24">
        <v>63.640800000000006</v>
      </c>
      <c r="U13" s="24"/>
      <c r="V13" s="24"/>
      <c r="W13" s="24"/>
      <c r="X13" s="24"/>
      <c r="Y13" s="24"/>
      <c r="Z13" s="24"/>
      <c r="AA13" s="24"/>
      <c r="AB13" s="24">
        <f t="shared" si="7"/>
        <v>-12.289159999999924</v>
      </c>
      <c r="AC13" s="26">
        <f t="shared" si="8"/>
        <v>-3.6208485562757589E-2</v>
      </c>
      <c r="AD13" s="15"/>
      <c r="AE13" s="3"/>
      <c r="AF13" s="16"/>
      <c r="AH13" s="3"/>
      <c r="AI13" s="16"/>
    </row>
    <row r="14" spans="1:35" x14ac:dyDescent="0.35">
      <c r="A14" s="40" t="s">
        <v>9</v>
      </c>
      <c r="B14" s="22">
        <f t="shared" si="16"/>
        <v>226.09999999999997</v>
      </c>
      <c r="C14" s="23">
        <v>35.299999999999997</v>
      </c>
      <c r="D14" s="24">
        <v>53.4</v>
      </c>
      <c r="E14" s="24">
        <v>23.6</v>
      </c>
      <c r="F14" s="24">
        <v>62</v>
      </c>
      <c r="G14" s="24">
        <v>51.8</v>
      </c>
      <c r="H14" s="24">
        <v>29.5</v>
      </c>
      <c r="I14" s="24">
        <v>22.3</v>
      </c>
      <c r="J14" s="24">
        <v>28.2</v>
      </c>
      <c r="K14" s="24">
        <v>30.7</v>
      </c>
      <c r="L14" s="24">
        <v>16.100000000000001</v>
      </c>
      <c r="M14" s="24">
        <v>39.5</v>
      </c>
      <c r="N14" s="25">
        <v>28.2</v>
      </c>
      <c r="O14" s="27">
        <f t="shared" si="12"/>
        <v>176.14111</v>
      </c>
      <c r="P14" s="23">
        <v>49.518000000000001</v>
      </c>
      <c r="Q14" s="24">
        <v>36.421199999999999</v>
      </c>
      <c r="R14" s="24">
        <v>19.559339999999999</v>
      </c>
      <c r="S14" s="24">
        <v>55.868660000000006</v>
      </c>
      <c r="T14" s="24">
        <v>14.773909999999999</v>
      </c>
      <c r="U14" s="24"/>
      <c r="V14" s="24"/>
      <c r="W14" s="24"/>
      <c r="X14" s="24"/>
      <c r="Y14" s="24"/>
      <c r="Z14" s="24"/>
      <c r="AA14" s="24"/>
      <c r="AB14" s="24">
        <f t="shared" si="7"/>
        <v>-49.958889999999968</v>
      </c>
      <c r="AC14" s="26">
        <f t="shared" si="8"/>
        <v>-0.22095926581158767</v>
      </c>
      <c r="AD14" s="15"/>
      <c r="AE14" s="3"/>
      <c r="AF14" s="16"/>
      <c r="AH14" s="3"/>
      <c r="AI14" s="16"/>
    </row>
    <row r="15" spans="1:35" x14ac:dyDescent="0.35">
      <c r="A15" s="39" t="s">
        <v>10</v>
      </c>
      <c r="B15" s="17">
        <f>SUM(B16:B20)</f>
        <v>6467.7999999999993</v>
      </c>
      <c r="C15" s="18">
        <f>SUM(C16:C20)</f>
        <v>1303.4000000000001</v>
      </c>
      <c r="D15" s="19">
        <f t="shared" ref="D15:N15" si="17">SUM(D16:D20)</f>
        <v>1096.9000000000001</v>
      </c>
      <c r="E15" s="19">
        <f t="shared" si="17"/>
        <v>1490.7</v>
      </c>
      <c r="F15" s="19">
        <f t="shared" si="17"/>
        <v>1476.3999999999999</v>
      </c>
      <c r="G15" s="19">
        <f t="shared" si="17"/>
        <v>1100.4000000000001</v>
      </c>
      <c r="H15" s="19">
        <f t="shared" si="17"/>
        <v>839.60000000000014</v>
      </c>
      <c r="I15" s="19">
        <f t="shared" si="17"/>
        <v>1343.7</v>
      </c>
      <c r="J15" s="19">
        <f t="shared" si="17"/>
        <v>1761.7</v>
      </c>
      <c r="K15" s="19">
        <f t="shared" si="17"/>
        <v>1501.6000000000001</v>
      </c>
      <c r="L15" s="19">
        <f t="shared" si="17"/>
        <v>1659.4</v>
      </c>
      <c r="M15" s="19">
        <f t="shared" si="17"/>
        <v>1809</v>
      </c>
      <c r="N15" s="20">
        <f t="shared" si="17"/>
        <v>1798.2</v>
      </c>
      <c r="O15" s="17">
        <f>SUM(O16:O20)</f>
        <v>7409.3793000000005</v>
      </c>
      <c r="P15" s="18">
        <v>1342.9780000000001</v>
      </c>
      <c r="Q15" s="19">
        <v>1421.0919999999999</v>
      </c>
      <c r="R15" s="19">
        <v>1735.4641300000001</v>
      </c>
      <c r="S15" s="19">
        <f t="shared" ref="S15:T15" si="18">SUM(S16:S20)</f>
        <v>1575.0231100000001</v>
      </c>
      <c r="T15" s="19">
        <f t="shared" si="18"/>
        <v>1334.82206</v>
      </c>
      <c r="U15" s="19">
        <f t="shared" ref="U15:AA15" si="19">SUM(U16:U20)</f>
        <v>0</v>
      </c>
      <c r="V15" s="19">
        <f t="shared" si="19"/>
        <v>0</v>
      </c>
      <c r="W15" s="19">
        <f t="shared" si="19"/>
        <v>0</v>
      </c>
      <c r="X15" s="19">
        <f t="shared" si="19"/>
        <v>0</v>
      </c>
      <c r="Y15" s="19">
        <f t="shared" si="19"/>
        <v>0</v>
      </c>
      <c r="Z15" s="19">
        <f t="shared" si="19"/>
        <v>0</v>
      </c>
      <c r="AA15" s="19">
        <f t="shared" si="19"/>
        <v>0</v>
      </c>
      <c r="AB15" s="19">
        <f t="shared" si="7"/>
        <v>941.57930000000124</v>
      </c>
      <c r="AC15" s="21">
        <f t="shared" si="8"/>
        <v>0.14557953245307545</v>
      </c>
      <c r="AD15" s="15"/>
      <c r="AE15" s="3"/>
      <c r="AF15" s="16"/>
      <c r="AH15" s="3"/>
      <c r="AI15" s="16"/>
    </row>
    <row r="16" spans="1:35" x14ac:dyDescent="0.35">
      <c r="A16" s="40" t="s">
        <v>11</v>
      </c>
      <c r="B16" s="22">
        <f t="shared" si="16"/>
        <v>4137.3999999999996</v>
      </c>
      <c r="C16" s="23">
        <v>828.2</v>
      </c>
      <c r="D16" s="24">
        <v>740.5</v>
      </c>
      <c r="E16" s="24">
        <v>956.2</v>
      </c>
      <c r="F16" s="24">
        <v>1018.3</v>
      </c>
      <c r="G16" s="24">
        <v>594.20000000000005</v>
      </c>
      <c r="H16" s="24">
        <v>259.3</v>
      </c>
      <c r="I16" s="24">
        <v>765.4</v>
      </c>
      <c r="J16" s="24">
        <v>1189.4000000000001</v>
      </c>
      <c r="K16" s="24">
        <v>1112.7</v>
      </c>
      <c r="L16" s="24">
        <v>1218</v>
      </c>
      <c r="M16" s="24">
        <v>1302.8</v>
      </c>
      <c r="N16" s="25">
        <v>1229.3</v>
      </c>
      <c r="O16" s="22">
        <f t="shared" si="12"/>
        <v>5431.6380099999997</v>
      </c>
      <c r="P16" s="23">
        <v>1020.335</v>
      </c>
      <c r="Q16" s="24">
        <v>1171.4490999999998</v>
      </c>
      <c r="R16" s="24">
        <v>1218.29402</v>
      </c>
      <c r="S16" s="24">
        <v>1186.5494000000001</v>
      </c>
      <c r="T16" s="24">
        <v>835.01049</v>
      </c>
      <c r="U16" s="24"/>
      <c r="V16" s="24"/>
      <c r="W16" s="24"/>
      <c r="X16" s="24"/>
      <c r="Y16" s="24"/>
      <c r="Z16" s="24"/>
      <c r="AA16" s="24"/>
      <c r="AB16" s="24">
        <f t="shared" si="7"/>
        <v>1294.23801</v>
      </c>
      <c r="AC16" s="26">
        <f t="shared" si="8"/>
        <v>0.3128143302557162</v>
      </c>
      <c r="AD16" s="15"/>
      <c r="AE16" s="3"/>
      <c r="AF16" s="16"/>
      <c r="AH16" s="3"/>
      <c r="AI16" s="16"/>
    </row>
    <row r="17" spans="1:35" x14ac:dyDescent="0.35">
      <c r="A17" s="40" t="s">
        <v>12</v>
      </c>
      <c r="B17" s="22">
        <f t="shared" si="16"/>
        <v>357.2</v>
      </c>
      <c r="C17" s="23">
        <v>107.7</v>
      </c>
      <c r="D17" s="24">
        <v>16.2</v>
      </c>
      <c r="E17" s="24">
        <v>126.5</v>
      </c>
      <c r="F17" s="24">
        <v>76.400000000000006</v>
      </c>
      <c r="G17" s="24">
        <v>30.4</v>
      </c>
      <c r="H17" s="24">
        <v>82</v>
      </c>
      <c r="I17" s="24">
        <v>72.7</v>
      </c>
      <c r="J17" s="24">
        <v>39.1</v>
      </c>
      <c r="K17" s="24">
        <v>20.7</v>
      </c>
      <c r="L17" s="24">
        <v>39.5</v>
      </c>
      <c r="M17" s="24">
        <v>68.400000000000006</v>
      </c>
      <c r="N17" s="25">
        <v>42.5</v>
      </c>
      <c r="O17" s="22">
        <f t="shared" si="12"/>
        <v>161.03478999999999</v>
      </c>
      <c r="P17" s="23">
        <v>34.087000000000003</v>
      </c>
      <c r="Q17" s="24">
        <v>44.875299999999996</v>
      </c>
      <c r="R17" s="24">
        <v>13.510530000000001</v>
      </c>
      <c r="S17" s="24">
        <v>13.262320000000001</v>
      </c>
      <c r="T17" s="24">
        <v>55.299639999999997</v>
      </c>
      <c r="U17" s="24"/>
      <c r="V17" s="24"/>
      <c r="W17" s="24"/>
      <c r="X17" s="24"/>
      <c r="Y17" s="24"/>
      <c r="Z17" s="24"/>
      <c r="AA17" s="24"/>
      <c r="AB17" s="24">
        <f t="shared" si="7"/>
        <v>-196.16521</v>
      </c>
      <c r="AC17" s="26">
        <f t="shared" si="8"/>
        <v>-0.54917472004479284</v>
      </c>
      <c r="AD17" s="15"/>
      <c r="AE17" s="3"/>
      <c r="AF17" s="16"/>
      <c r="AH17" s="3"/>
      <c r="AI17" s="16"/>
    </row>
    <row r="18" spans="1:35" x14ac:dyDescent="0.35">
      <c r="A18" s="40" t="s">
        <v>13</v>
      </c>
      <c r="B18" s="22">
        <f t="shared" si="16"/>
        <v>151.19999999999999</v>
      </c>
      <c r="C18" s="23">
        <v>12</v>
      </c>
      <c r="D18" s="24">
        <v>19</v>
      </c>
      <c r="E18" s="24">
        <v>46.1</v>
      </c>
      <c r="F18" s="24">
        <v>62.5</v>
      </c>
      <c r="G18" s="24">
        <v>11.6</v>
      </c>
      <c r="H18" s="24">
        <v>0</v>
      </c>
      <c r="I18" s="24">
        <v>54.4</v>
      </c>
      <c r="J18" s="24">
        <v>109.2</v>
      </c>
      <c r="K18" s="24">
        <v>106.9</v>
      </c>
      <c r="L18" s="24">
        <v>29.9</v>
      </c>
      <c r="M18" s="24">
        <v>0</v>
      </c>
      <c r="N18" s="25">
        <v>48</v>
      </c>
      <c r="O18" s="22">
        <f t="shared" si="12"/>
        <v>110.10514999999998</v>
      </c>
      <c r="P18" s="23">
        <v>14.791</v>
      </c>
      <c r="Q18" s="24">
        <v>28.934499999999996</v>
      </c>
      <c r="R18" s="24">
        <v>33.441549999999999</v>
      </c>
      <c r="S18" s="24">
        <v>32.938099999999999</v>
      </c>
      <c r="T18" s="24">
        <v>0</v>
      </c>
      <c r="U18" s="24"/>
      <c r="V18" s="24"/>
      <c r="W18" s="24"/>
      <c r="X18" s="24"/>
      <c r="Y18" s="24"/>
      <c r="Z18" s="24"/>
      <c r="AA18" s="24"/>
      <c r="AB18" s="24">
        <f t="shared" si="7"/>
        <v>-41.094850000000008</v>
      </c>
      <c r="AC18" s="26">
        <f t="shared" si="8"/>
        <v>-0.27179133597883604</v>
      </c>
      <c r="AD18" s="15"/>
      <c r="AE18" s="3"/>
      <c r="AF18" s="16"/>
      <c r="AH18" s="3"/>
      <c r="AI18" s="16"/>
    </row>
    <row r="19" spans="1:35" x14ac:dyDescent="0.35">
      <c r="A19" s="40" t="s">
        <v>42</v>
      </c>
      <c r="B19" s="22">
        <f t="shared" si="16"/>
        <v>990.30000000000007</v>
      </c>
      <c r="C19" s="23">
        <v>177.1</v>
      </c>
      <c r="D19" s="24">
        <v>162.6</v>
      </c>
      <c r="E19" s="24">
        <v>197</v>
      </c>
      <c r="F19" s="24">
        <v>183.1</v>
      </c>
      <c r="G19" s="24">
        <v>270.5</v>
      </c>
      <c r="H19" s="24">
        <v>311.60000000000002</v>
      </c>
      <c r="I19" s="24">
        <v>216.5</v>
      </c>
      <c r="J19" s="24">
        <v>243.4</v>
      </c>
      <c r="K19" s="24">
        <v>132</v>
      </c>
      <c r="L19" s="24">
        <v>217.8</v>
      </c>
      <c r="M19" s="24">
        <v>295.89999999999998</v>
      </c>
      <c r="N19" s="25">
        <v>343.7</v>
      </c>
      <c r="O19" s="22">
        <f t="shared" si="12"/>
        <v>1051.3252200000002</v>
      </c>
      <c r="P19" s="24">
        <v>138.38999999999999</v>
      </c>
      <c r="Q19" s="24">
        <v>95.41840000000002</v>
      </c>
      <c r="R19" s="24">
        <v>288.94571000000002</v>
      </c>
      <c r="S19" s="24">
        <f>240.63949-37.80418</f>
        <v>202.83530999999999</v>
      </c>
      <c r="T19" s="24">
        <v>325.73580000000004</v>
      </c>
      <c r="U19" s="24"/>
      <c r="V19" s="24"/>
      <c r="W19" s="24"/>
      <c r="X19" s="24"/>
      <c r="Y19" s="24"/>
      <c r="Z19" s="24"/>
      <c r="AA19" s="24"/>
      <c r="AB19" s="24">
        <f t="shared" si="7"/>
        <v>61.025220000000104</v>
      </c>
      <c r="AC19" s="26">
        <f t="shared" si="8"/>
        <v>6.1622962738564172E-2</v>
      </c>
      <c r="AD19" s="15"/>
      <c r="AE19" s="3"/>
      <c r="AF19" s="16"/>
      <c r="AH19" s="3"/>
      <c r="AI19" s="16"/>
    </row>
    <row r="20" spans="1:35" x14ac:dyDescent="0.35">
      <c r="A20" s="40" t="s">
        <v>14</v>
      </c>
      <c r="B20" s="22">
        <f t="shared" si="16"/>
        <v>831.7</v>
      </c>
      <c r="C20" s="23">
        <v>178.4</v>
      </c>
      <c r="D20" s="24">
        <v>158.6</v>
      </c>
      <c r="E20" s="24">
        <v>164.9</v>
      </c>
      <c r="F20" s="24">
        <v>136.1</v>
      </c>
      <c r="G20" s="24">
        <v>193.7</v>
      </c>
      <c r="H20" s="24">
        <v>186.7</v>
      </c>
      <c r="I20" s="24">
        <v>234.7</v>
      </c>
      <c r="J20" s="24">
        <v>180.6</v>
      </c>
      <c r="K20" s="24">
        <v>129.30000000000001</v>
      </c>
      <c r="L20" s="24">
        <v>154.19999999999999</v>
      </c>
      <c r="M20" s="24">
        <v>141.9</v>
      </c>
      <c r="N20" s="25">
        <v>134.69999999999999</v>
      </c>
      <c r="O20" s="22">
        <f t="shared" si="12"/>
        <v>655.27612999999997</v>
      </c>
      <c r="P20" s="23">
        <v>135.375</v>
      </c>
      <c r="Q20" s="24">
        <v>80.414700000000011</v>
      </c>
      <c r="R20" s="24">
        <v>181.27231999999998</v>
      </c>
      <c r="S20" s="24">
        <v>139.43797999999998</v>
      </c>
      <c r="T20" s="24">
        <v>118.77613000000002</v>
      </c>
      <c r="U20" s="24"/>
      <c r="V20" s="24"/>
      <c r="W20" s="24"/>
      <c r="X20" s="24"/>
      <c r="Y20" s="24"/>
      <c r="Z20" s="24"/>
      <c r="AA20" s="24"/>
      <c r="AB20" s="24">
        <f t="shared" si="7"/>
        <v>-176.42387000000008</v>
      </c>
      <c r="AC20" s="26">
        <f t="shared" si="8"/>
        <v>-0.21212440783936523</v>
      </c>
      <c r="AD20" s="15"/>
      <c r="AE20" s="3"/>
      <c r="AF20" s="16"/>
      <c r="AH20" s="3"/>
      <c r="AI20" s="16"/>
    </row>
    <row r="21" spans="1:35" x14ac:dyDescent="0.35">
      <c r="A21" s="39" t="s">
        <v>15</v>
      </c>
      <c r="B21" s="17">
        <f>SUM(B22:B25)</f>
        <v>5715.1605270000009</v>
      </c>
      <c r="C21" s="18">
        <f>SUM(C22:C25)</f>
        <v>1116.1000000000001</v>
      </c>
      <c r="D21" s="19">
        <f t="shared" ref="D21:N21" si="20">SUM(D22:D25)</f>
        <v>828.19999999999993</v>
      </c>
      <c r="E21" s="19">
        <f t="shared" si="20"/>
        <v>1364.860527</v>
      </c>
      <c r="F21" s="19">
        <f t="shared" si="20"/>
        <v>1041.2</v>
      </c>
      <c r="G21" s="19">
        <f t="shared" si="20"/>
        <v>1364.7999999999997</v>
      </c>
      <c r="H21" s="19">
        <f t="shared" si="20"/>
        <v>1360.4</v>
      </c>
      <c r="I21" s="19">
        <f t="shared" si="20"/>
        <v>1175.8999999999999</v>
      </c>
      <c r="J21" s="19">
        <f t="shared" si="20"/>
        <v>992.59999999999991</v>
      </c>
      <c r="K21" s="19">
        <f t="shared" si="20"/>
        <v>1095.4000000000001</v>
      </c>
      <c r="L21" s="19">
        <f t="shared" si="20"/>
        <v>1201.4000000000001</v>
      </c>
      <c r="M21" s="19">
        <f t="shared" si="20"/>
        <v>1121.5</v>
      </c>
      <c r="N21" s="20">
        <f t="shared" si="20"/>
        <v>1180.0999999999999</v>
      </c>
      <c r="O21" s="17">
        <f>SUM(O22:O25)</f>
        <v>6269.5538582499994</v>
      </c>
      <c r="P21" s="18">
        <v>1084.7027413000001</v>
      </c>
      <c r="Q21" s="19">
        <v>1168.9657587000002</v>
      </c>
      <c r="R21" s="19">
        <v>1338.2970309999998</v>
      </c>
      <c r="S21" s="19">
        <f t="shared" ref="S21:T21" si="21">SUM(S22:S25)</f>
        <v>1407.7753724499998</v>
      </c>
      <c r="T21" s="19">
        <f t="shared" si="21"/>
        <v>1269.8129548000002</v>
      </c>
      <c r="U21" s="19">
        <f t="shared" ref="U21:AA21" si="22">SUM(U22:U25)</f>
        <v>0</v>
      </c>
      <c r="V21" s="19">
        <f t="shared" si="22"/>
        <v>0</v>
      </c>
      <c r="W21" s="19">
        <f t="shared" si="22"/>
        <v>0</v>
      </c>
      <c r="X21" s="19">
        <f t="shared" si="22"/>
        <v>0</v>
      </c>
      <c r="Y21" s="19">
        <f t="shared" si="22"/>
        <v>0</v>
      </c>
      <c r="Z21" s="19">
        <f t="shared" si="22"/>
        <v>0</v>
      </c>
      <c r="AA21" s="19">
        <f t="shared" si="22"/>
        <v>0</v>
      </c>
      <c r="AB21" s="19">
        <f t="shared" si="7"/>
        <v>554.39333124999848</v>
      </c>
      <c r="AC21" s="21">
        <f t="shared" si="8"/>
        <v>9.7003982413248216E-2</v>
      </c>
      <c r="AD21" s="15"/>
      <c r="AE21" s="3"/>
      <c r="AF21" s="16"/>
      <c r="AH21" s="3"/>
      <c r="AI21" s="16"/>
    </row>
    <row r="22" spans="1:35" x14ac:dyDescent="0.35">
      <c r="A22" s="40" t="s">
        <v>16</v>
      </c>
      <c r="B22" s="22">
        <f t="shared" si="16"/>
        <v>4992.9605270000002</v>
      </c>
      <c r="C22" s="23">
        <v>962.90000000000009</v>
      </c>
      <c r="D22" s="24">
        <v>717.4</v>
      </c>
      <c r="E22" s="24">
        <f>[18]объемы!$AH$25+[18]объемы!$AH$45</f>
        <v>1228.5605270000001</v>
      </c>
      <c r="F22" s="24">
        <f>764.2+135.6</f>
        <v>899.80000000000007</v>
      </c>
      <c r="G22" s="24">
        <v>1184.3</v>
      </c>
      <c r="H22" s="24">
        <v>1198</v>
      </c>
      <c r="I22" s="24">
        <f>830.1+184.1</f>
        <v>1014.2</v>
      </c>
      <c r="J22" s="24">
        <v>825.3</v>
      </c>
      <c r="K22" s="24">
        <f>692.1+264.8</f>
        <v>956.90000000000009</v>
      </c>
      <c r="L22" s="24">
        <f>841+206.2</f>
        <v>1047.2</v>
      </c>
      <c r="M22" s="24">
        <f>740.1+162.5</f>
        <v>902.6</v>
      </c>
      <c r="N22" s="25">
        <f>650.6+334.8</f>
        <v>985.40000000000009</v>
      </c>
      <c r="O22" s="22">
        <f t="shared" si="12"/>
        <v>5564.6914509999997</v>
      </c>
      <c r="P22" s="23">
        <v>928.02702399999998</v>
      </c>
      <c r="Q22" s="24">
        <v>1031.1365760000001</v>
      </c>
      <c r="R22" s="24">
        <v>1202.1360499999998</v>
      </c>
      <c r="S22" s="24">
        <v>1258.8118899999999</v>
      </c>
      <c r="T22" s="24">
        <v>1144.579911</v>
      </c>
      <c r="U22" s="24"/>
      <c r="V22" s="24"/>
      <c r="W22" s="24"/>
      <c r="X22" s="24"/>
      <c r="Y22" s="24"/>
      <c r="Z22" s="24"/>
      <c r="AA22" s="24"/>
      <c r="AB22" s="24">
        <f t="shared" si="7"/>
        <v>571.7309239999995</v>
      </c>
      <c r="AC22" s="26">
        <f t="shared" si="8"/>
        <v>0.1145073991489217</v>
      </c>
      <c r="AD22" s="15"/>
      <c r="AE22" s="3"/>
      <c r="AF22" s="16"/>
      <c r="AH22" s="3"/>
      <c r="AI22" s="16"/>
    </row>
    <row r="23" spans="1:35" x14ac:dyDescent="0.35">
      <c r="A23" s="40" t="s">
        <v>17</v>
      </c>
      <c r="B23" s="22">
        <f t="shared" si="16"/>
        <v>143.29999999999998</v>
      </c>
      <c r="C23" s="23">
        <v>34</v>
      </c>
      <c r="D23" s="24">
        <v>21.8</v>
      </c>
      <c r="E23" s="24">
        <v>29.3</v>
      </c>
      <c r="F23" s="24">
        <v>29.6</v>
      </c>
      <c r="G23" s="24">
        <v>28.6</v>
      </c>
      <c r="H23" s="24">
        <v>25.6</v>
      </c>
      <c r="I23" s="24">
        <v>35.6</v>
      </c>
      <c r="J23" s="24">
        <v>46.3</v>
      </c>
      <c r="K23" s="24">
        <v>44.9</v>
      </c>
      <c r="L23" s="24">
        <v>40</v>
      </c>
      <c r="M23" s="24">
        <v>46.4</v>
      </c>
      <c r="N23" s="25">
        <v>30.9</v>
      </c>
      <c r="O23" s="22">
        <f t="shared" si="12"/>
        <v>132.11893025000001</v>
      </c>
      <c r="P23" s="23">
        <v>28.4925861</v>
      </c>
      <c r="Q23" s="24">
        <v>21.736813899999998</v>
      </c>
      <c r="R23" s="24">
        <v>23.813679999999998</v>
      </c>
      <c r="S23" s="24">
        <v>30.46881145</v>
      </c>
      <c r="T23" s="24">
        <v>27.607038799999998</v>
      </c>
      <c r="U23" s="24"/>
      <c r="V23" s="24"/>
      <c r="W23" s="24"/>
      <c r="X23" s="24"/>
      <c r="Y23" s="24"/>
      <c r="Z23" s="24"/>
      <c r="AA23" s="24"/>
      <c r="AB23" s="24">
        <f t="shared" si="7"/>
        <v>-11.181069749999978</v>
      </c>
      <c r="AC23" s="26">
        <f t="shared" si="8"/>
        <v>-7.8025608862526019E-2</v>
      </c>
      <c r="AD23" s="15"/>
      <c r="AE23" s="3"/>
      <c r="AF23" s="16"/>
      <c r="AH23" s="3"/>
      <c r="AI23" s="16"/>
    </row>
    <row r="24" spans="1:35" x14ac:dyDescent="0.35">
      <c r="A24" s="40" t="s">
        <v>18</v>
      </c>
      <c r="B24" s="22">
        <f t="shared" si="16"/>
        <v>481.1</v>
      </c>
      <c r="C24" s="23">
        <v>104.9</v>
      </c>
      <c r="D24" s="24">
        <v>76.5</v>
      </c>
      <c r="E24" s="24">
        <v>99.6</v>
      </c>
      <c r="F24" s="24">
        <v>94.3</v>
      </c>
      <c r="G24" s="24">
        <v>105.8</v>
      </c>
      <c r="H24" s="24">
        <v>85.4</v>
      </c>
      <c r="I24" s="24">
        <v>103.3</v>
      </c>
      <c r="J24" s="24">
        <v>111.9</v>
      </c>
      <c r="K24" s="24">
        <v>86.5</v>
      </c>
      <c r="L24" s="24">
        <v>84.5</v>
      </c>
      <c r="M24" s="24">
        <v>136.4</v>
      </c>
      <c r="N24" s="25">
        <v>126.7</v>
      </c>
      <c r="O24" s="22">
        <f t="shared" si="12"/>
        <v>431.08874500000007</v>
      </c>
      <c r="P24" s="23">
        <v>111.0012062</v>
      </c>
      <c r="Q24" s="24">
        <v>97.055693800000014</v>
      </c>
      <c r="R24" s="24">
        <v>80.650812999999999</v>
      </c>
      <c r="S24" s="24">
        <v>81.77551600000001</v>
      </c>
      <c r="T24" s="24">
        <v>60.605516000000001</v>
      </c>
      <c r="U24" s="24"/>
      <c r="V24" s="24"/>
      <c r="W24" s="24"/>
      <c r="X24" s="24"/>
      <c r="Y24" s="24"/>
      <c r="Z24" s="24"/>
      <c r="AA24" s="24"/>
      <c r="AB24" s="24">
        <f t="shared" si="7"/>
        <v>-50.011254999999949</v>
      </c>
      <c r="AC24" s="26">
        <f t="shared" si="8"/>
        <v>-0.10395189149864882</v>
      </c>
      <c r="AD24" s="15"/>
      <c r="AE24" s="3"/>
      <c r="AF24" s="16"/>
      <c r="AH24" s="3"/>
      <c r="AI24" s="16"/>
    </row>
    <row r="25" spans="1:35" x14ac:dyDescent="0.35">
      <c r="A25" s="40" t="s">
        <v>19</v>
      </c>
      <c r="B25" s="22">
        <f t="shared" si="16"/>
        <v>97.800000000000011</v>
      </c>
      <c r="C25" s="23">
        <v>14.3</v>
      </c>
      <c r="D25" s="24">
        <v>12.5</v>
      </c>
      <c r="E25" s="24">
        <v>7.4</v>
      </c>
      <c r="F25" s="24">
        <v>17.5</v>
      </c>
      <c r="G25" s="24">
        <v>46.1</v>
      </c>
      <c r="H25" s="24">
        <v>51.4</v>
      </c>
      <c r="I25" s="24">
        <v>22.8</v>
      </c>
      <c r="J25" s="24">
        <v>9.1</v>
      </c>
      <c r="K25" s="24">
        <v>7.1</v>
      </c>
      <c r="L25" s="24">
        <v>29.7</v>
      </c>
      <c r="M25" s="24">
        <v>36.1</v>
      </c>
      <c r="N25" s="25">
        <v>37.1</v>
      </c>
      <c r="O25" s="22">
        <f t="shared" si="12"/>
        <v>141.654732</v>
      </c>
      <c r="P25" s="23">
        <v>17.181925</v>
      </c>
      <c r="Q25" s="24">
        <v>19.036674999999995</v>
      </c>
      <c r="R25" s="24">
        <v>31.696487999999999</v>
      </c>
      <c r="S25" s="24">
        <v>36.719155000000001</v>
      </c>
      <c r="T25" s="24">
        <v>37.020488999999998</v>
      </c>
      <c r="U25" s="24"/>
      <c r="V25" s="24"/>
      <c r="W25" s="24"/>
      <c r="X25" s="24"/>
      <c r="Y25" s="24"/>
      <c r="Z25" s="24"/>
      <c r="AA25" s="24"/>
      <c r="AB25" s="24">
        <f t="shared" si="7"/>
        <v>43.854731999999984</v>
      </c>
      <c r="AC25" s="26">
        <f t="shared" si="8"/>
        <v>0.44841239263803662</v>
      </c>
      <c r="AD25" s="15"/>
      <c r="AE25" s="3"/>
      <c r="AF25" s="16"/>
      <c r="AH25" s="3"/>
      <c r="AI25" s="16"/>
    </row>
    <row r="26" spans="1:35" x14ac:dyDescent="0.35">
      <c r="A26" s="39" t="s">
        <v>20</v>
      </c>
      <c r="B26" s="17">
        <f>B27+B28</f>
        <v>2554.06</v>
      </c>
      <c r="C26" s="18">
        <f>C27+C28</f>
        <v>450.5</v>
      </c>
      <c r="D26" s="19">
        <f t="shared" ref="D26:N26" si="23">D27+D28</f>
        <v>410.2</v>
      </c>
      <c r="E26" s="19">
        <f t="shared" si="23"/>
        <v>548.46</v>
      </c>
      <c r="F26" s="19">
        <f t="shared" si="23"/>
        <v>557</v>
      </c>
      <c r="G26" s="19">
        <f t="shared" si="23"/>
        <v>587.9</v>
      </c>
      <c r="H26" s="19">
        <f t="shared" si="23"/>
        <v>569.5</v>
      </c>
      <c r="I26" s="19">
        <f t="shared" si="23"/>
        <v>412.8</v>
      </c>
      <c r="J26" s="19">
        <f t="shared" si="23"/>
        <v>509.6</v>
      </c>
      <c r="K26" s="19">
        <f t="shared" si="23"/>
        <v>339.70000000000005</v>
      </c>
      <c r="L26" s="19">
        <f t="shared" si="23"/>
        <v>523.6</v>
      </c>
      <c r="M26" s="19">
        <f t="shared" si="23"/>
        <v>486.09999999999997</v>
      </c>
      <c r="N26" s="20">
        <f t="shared" si="23"/>
        <v>556.6</v>
      </c>
      <c r="O26" s="17">
        <f>O27+O28</f>
        <v>2631.099297021</v>
      </c>
      <c r="P26" s="18">
        <v>411.26099999999997</v>
      </c>
      <c r="Q26" s="19">
        <v>485.37028220499997</v>
      </c>
      <c r="R26" s="19">
        <v>571.87498783000001</v>
      </c>
      <c r="S26" s="19">
        <f t="shared" ref="S26" si="24">S27+S28</f>
        <v>617.37216453999997</v>
      </c>
      <c r="T26" s="19">
        <f>T27+T28</f>
        <v>545.22086244600007</v>
      </c>
      <c r="U26" s="19">
        <f t="shared" ref="U26:AA26" si="25">U27+U28</f>
        <v>0</v>
      </c>
      <c r="V26" s="19">
        <f t="shared" si="25"/>
        <v>0</v>
      </c>
      <c r="W26" s="19">
        <f t="shared" si="25"/>
        <v>0</v>
      </c>
      <c r="X26" s="19">
        <f t="shared" si="25"/>
        <v>0</v>
      </c>
      <c r="Y26" s="19">
        <f t="shared" si="25"/>
        <v>0</v>
      </c>
      <c r="Z26" s="19">
        <f t="shared" si="25"/>
        <v>0</v>
      </c>
      <c r="AA26" s="19">
        <f t="shared" si="25"/>
        <v>0</v>
      </c>
      <c r="AB26" s="19">
        <f t="shared" si="7"/>
        <v>77.039297021000039</v>
      </c>
      <c r="AC26" s="21">
        <f t="shared" si="8"/>
        <v>3.0163464061533418E-2</v>
      </c>
      <c r="AD26" s="15"/>
      <c r="AE26" s="3"/>
      <c r="AF26" s="16"/>
      <c r="AH26" s="3"/>
      <c r="AI26" s="16"/>
    </row>
    <row r="27" spans="1:35" x14ac:dyDescent="0.35">
      <c r="A27" s="41" t="s">
        <v>21</v>
      </c>
      <c r="B27" s="27">
        <f t="shared" si="16"/>
        <v>2188.66</v>
      </c>
      <c r="C27" s="28">
        <v>396.2</v>
      </c>
      <c r="D27" s="29">
        <v>356</v>
      </c>
      <c r="E27" s="29">
        <v>461.56</v>
      </c>
      <c r="F27" s="29">
        <f>243.1+231.3</f>
        <v>474.4</v>
      </c>
      <c r="G27" s="29">
        <v>500.5</v>
      </c>
      <c r="H27" s="29">
        <v>459.7</v>
      </c>
      <c r="I27" s="29">
        <f>153+182.6</f>
        <v>335.6</v>
      </c>
      <c r="J27" s="29">
        <v>395.1</v>
      </c>
      <c r="K27" s="29">
        <f>127.2+130.9</f>
        <v>258.10000000000002</v>
      </c>
      <c r="L27" s="29">
        <f>227+225.7</f>
        <v>452.7</v>
      </c>
      <c r="M27" s="29">
        <f>191.6+234.6</f>
        <v>426.2</v>
      </c>
      <c r="N27" s="30">
        <f>172.7+314.6</f>
        <v>487.3</v>
      </c>
      <c r="O27" s="27">
        <f t="shared" si="12"/>
        <v>2218.4935</v>
      </c>
      <c r="P27" s="28">
        <v>353.16399999999999</v>
      </c>
      <c r="Q27" s="29">
        <v>401.09550000000002</v>
      </c>
      <c r="R27" s="29">
        <v>503.93020000000001</v>
      </c>
      <c r="S27" s="29">
        <v>516.83699999999999</v>
      </c>
      <c r="T27" s="29">
        <v>443.46680000000003</v>
      </c>
      <c r="U27" s="29"/>
      <c r="V27" s="29"/>
      <c r="W27" s="29"/>
      <c r="X27" s="29"/>
      <c r="Y27" s="29"/>
      <c r="Z27" s="29"/>
      <c r="AA27" s="29"/>
      <c r="AB27" s="24">
        <f t="shared" si="7"/>
        <v>29.833500000000186</v>
      </c>
      <c r="AC27" s="26">
        <f t="shared" si="8"/>
        <v>1.3630943134155232E-2</v>
      </c>
      <c r="AD27" s="15"/>
      <c r="AE27" s="3"/>
      <c r="AF27" s="16"/>
      <c r="AH27" s="3"/>
      <c r="AI27" s="16"/>
    </row>
    <row r="28" spans="1:35" x14ac:dyDescent="0.35">
      <c r="A28" s="41" t="s">
        <v>22</v>
      </c>
      <c r="B28" s="27">
        <f t="shared" si="16"/>
        <v>365.4</v>
      </c>
      <c r="C28" s="28">
        <v>54.3</v>
      </c>
      <c r="D28" s="29">
        <v>54.2</v>
      </c>
      <c r="E28" s="29">
        <v>86.9</v>
      </c>
      <c r="F28" s="29">
        <v>82.6</v>
      </c>
      <c r="G28" s="29">
        <v>87.4</v>
      </c>
      <c r="H28" s="29">
        <v>109.8</v>
      </c>
      <c r="I28" s="29">
        <v>77.2</v>
      </c>
      <c r="J28" s="29">
        <v>114.5</v>
      </c>
      <c r="K28" s="29">
        <v>81.599999999999994</v>
      </c>
      <c r="L28" s="29">
        <v>70.900000000000006</v>
      </c>
      <c r="M28" s="29">
        <v>59.9</v>
      </c>
      <c r="N28" s="30">
        <v>69.3</v>
      </c>
      <c r="O28" s="27">
        <f t="shared" si="12"/>
        <v>412.60579702100006</v>
      </c>
      <c r="P28" s="28">
        <v>58.097000000000001</v>
      </c>
      <c r="Q28" s="29">
        <v>84.27478220499998</v>
      </c>
      <c r="R28" s="29">
        <v>67.944787829999996</v>
      </c>
      <c r="S28" s="29">
        <v>100.53516454000001</v>
      </c>
      <c r="T28" s="29">
        <v>101.75406244600001</v>
      </c>
      <c r="U28" s="29"/>
      <c r="V28" s="29"/>
      <c r="W28" s="29"/>
      <c r="X28" s="29"/>
      <c r="Y28" s="29"/>
      <c r="Z28" s="29"/>
      <c r="AA28" s="29"/>
      <c r="AB28" s="24">
        <f t="shared" si="7"/>
        <v>47.20579702100008</v>
      </c>
      <c r="AC28" s="26">
        <f t="shared" si="8"/>
        <v>0.12918937334701719</v>
      </c>
      <c r="AD28" s="15"/>
      <c r="AE28" s="3"/>
      <c r="AF28" s="16"/>
      <c r="AH28" s="3"/>
      <c r="AI28" s="16"/>
    </row>
    <row r="29" spans="1:35" x14ac:dyDescent="0.35">
      <c r="A29" s="42" t="s">
        <v>23</v>
      </c>
      <c r="B29" s="22">
        <f>B30+B31</f>
        <v>251.95699999999999</v>
      </c>
      <c r="C29" s="23">
        <f>C30+C31</f>
        <v>44.337000000000003</v>
      </c>
      <c r="D29" s="24">
        <f t="shared" ref="D29:N29" si="26">D30+D31</f>
        <v>39.9</v>
      </c>
      <c r="E29" s="24">
        <f t="shared" si="26"/>
        <v>54.22</v>
      </c>
      <c r="F29" s="24">
        <f t="shared" si="26"/>
        <v>54</v>
      </c>
      <c r="G29" s="24">
        <f t="shared" si="26"/>
        <v>59.5</v>
      </c>
      <c r="H29" s="24">
        <f t="shared" si="26"/>
        <v>58.5</v>
      </c>
      <c r="I29" s="24">
        <f t="shared" si="26"/>
        <v>43.5</v>
      </c>
      <c r="J29" s="24">
        <f t="shared" si="26"/>
        <v>50.099999999999994</v>
      </c>
      <c r="K29" s="24">
        <f t="shared" si="26"/>
        <v>34.700000000000003</v>
      </c>
      <c r="L29" s="24">
        <f t="shared" si="26"/>
        <v>48.9</v>
      </c>
      <c r="M29" s="24">
        <f t="shared" si="26"/>
        <v>48.8</v>
      </c>
      <c r="N29" s="25">
        <f t="shared" si="26"/>
        <v>59.6</v>
      </c>
      <c r="O29" s="22">
        <f>O30+O31</f>
        <v>269.40300000000002</v>
      </c>
      <c r="P29" s="23">
        <v>43.717000000000006</v>
      </c>
      <c r="Q29" s="24">
        <v>49.686999999999998</v>
      </c>
      <c r="R29" s="24">
        <v>58.564</v>
      </c>
      <c r="S29" s="24">
        <f t="shared" ref="S29:T29" si="27">S30+S31</f>
        <v>64.884999999999991</v>
      </c>
      <c r="T29" s="24">
        <f t="shared" si="27"/>
        <v>52.55</v>
      </c>
      <c r="U29" s="24">
        <f t="shared" ref="U29:AA29" si="28">U30+U31</f>
        <v>0</v>
      </c>
      <c r="V29" s="24">
        <f t="shared" si="28"/>
        <v>0</v>
      </c>
      <c r="W29" s="24">
        <f t="shared" si="28"/>
        <v>0</v>
      </c>
      <c r="X29" s="24">
        <f t="shared" si="28"/>
        <v>0</v>
      </c>
      <c r="Y29" s="24">
        <f t="shared" si="28"/>
        <v>0</v>
      </c>
      <c r="Z29" s="24">
        <f t="shared" si="28"/>
        <v>0</v>
      </c>
      <c r="AA29" s="24">
        <f t="shared" si="28"/>
        <v>0</v>
      </c>
      <c r="AB29" s="24">
        <f t="shared" si="7"/>
        <v>17.446000000000026</v>
      </c>
      <c r="AC29" s="26">
        <f t="shared" si="8"/>
        <v>6.9241973828867737E-2</v>
      </c>
      <c r="AD29" s="15"/>
      <c r="AE29" s="3"/>
      <c r="AF29" s="16"/>
      <c r="AH29" s="3"/>
      <c r="AI29" s="16"/>
    </row>
    <row r="30" spans="1:35" x14ac:dyDescent="0.35">
      <c r="A30" s="41" t="s">
        <v>24</v>
      </c>
      <c r="B30" s="27">
        <f t="shared" si="16"/>
        <v>190.357</v>
      </c>
      <c r="C30" s="23">
        <v>35.137</v>
      </c>
      <c r="D30" s="29">
        <v>31</v>
      </c>
      <c r="E30" s="29">
        <v>40.92</v>
      </c>
      <c r="F30" s="24">
        <f>19.4+21.3</f>
        <v>40.700000000000003</v>
      </c>
      <c r="G30" s="29">
        <v>42.6</v>
      </c>
      <c r="H30" s="29">
        <v>38.700000000000003</v>
      </c>
      <c r="I30" s="29">
        <f>13.6+16.6</f>
        <v>30.200000000000003</v>
      </c>
      <c r="J30" s="29">
        <v>29.9</v>
      </c>
      <c r="K30" s="29">
        <f>11.1+9.5</f>
        <v>20.6</v>
      </c>
      <c r="L30" s="29">
        <f>17.8+18.7</f>
        <v>36.5</v>
      </c>
      <c r="M30" s="29">
        <f>17.6+20</f>
        <v>37.6</v>
      </c>
      <c r="N30" s="30">
        <f>18.6+31</f>
        <v>49.6</v>
      </c>
      <c r="O30" s="27">
        <f t="shared" si="12"/>
        <v>198.78</v>
      </c>
      <c r="P30" s="23">
        <v>33.754000000000005</v>
      </c>
      <c r="Q30" s="29">
        <v>35.61</v>
      </c>
      <c r="R30" s="29">
        <v>47.457999999999998</v>
      </c>
      <c r="S30" s="29">
        <v>47.244</v>
      </c>
      <c r="T30" s="29">
        <v>34.713999999999999</v>
      </c>
      <c r="U30" s="29"/>
      <c r="V30" s="29"/>
      <c r="W30" s="29"/>
      <c r="X30" s="29"/>
      <c r="Y30" s="29"/>
      <c r="Z30" s="29"/>
      <c r="AA30" s="29"/>
      <c r="AB30" s="24">
        <f t="shared" si="7"/>
        <v>8.4230000000000018</v>
      </c>
      <c r="AC30" s="26">
        <f t="shared" si="8"/>
        <v>4.4248438460366586E-2</v>
      </c>
      <c r="AD30" s="15"/>
      <c r="AE30" s="3"/>
      <c r="AF30" s="16"/>
      <c r="AH30" s="3"/>
      <c r="AI30" s="16"/>
    </row>
    <row r="31" spans="1:35" x14ac:dyDescent="0.35">
      <c r="A31" s="41" t="s">
        <v>25</v>
      </c>
      <c r="B31" s="27">
        <f t="shared" si="16"/>
        <v>61.6</v>
      </c>
      <c r="C31" s="28">
        <v>9.1999999999999993</v>
      </c>
      <c r="D31" s="29">
        <v>8.9</v>
      </c>
      <c r="E31" s="29">
        <v>13.3</v>
      </c>
      <c r="F31" s="29">
        <v>13.3</v>
      </c>
      <c r="G31" s="29">
        <v>16.899999999999999</v>
      </c>
      <c r="H31" s="29">
        <v>19.8</v>
      </c>
      <c r="I31" s="29">
        <v>13.3</v>
      </c>
      <c r="J31" s="29">
        <v>20.2</v>
      </c>
      <c r="K31" s="29">
        <v>14.1</v>
      </c>
      <c r="L31" s="29">
        <v>12.4</v>
      </c>
      <c r="M31" s="29">
        <v>11.2</v>
      </c>
      <c r="N31" s="30">
        <v>10</v>
      </c>
      <c r="O31" s="27">
        <f t="shared" si="12"/>
        <v>70.62299999999999</v>
      </c>
      <c r="P31" s="28">
        <v>9.9629999999999992</v>
      </c>
      <c r="Q31" s="29">
        <v>14.077</v>
      </c>
      <c r="R31" s="29">
        <v>11.106</v>
      </c>
      <c r="S31" s="29">
        <v>17.640999999999998</v>
      </c>
      <c r="T31" s="29">
        <v>17.835999999999999</v>
      </c>
      <c r="U31" s="29"/>
      <c r="V31" s="29"/>
      <c r="W31" s="29"/>
      <c r="X31" s="29"/>
      <c r="Y31" s="29"/>
      <c r="Z31" s="29"/>
      <c r="AA31" s="29"/>
      <c r="AB31" s="24">
        <f t="shared" si="7"/>
        <v>9.022999999999989</v>
      </c>
      <c r="AC31" s="26">
        <f t="shared" si="8"/>
        <v>0.14647727272727254</v>
      </c>
      <c r="AD31" s="15"/>
      <c r="AE31" s="3"/>
      <c r="AF31" s="16"/>
      <c r="AH31" s="3"/>
      <c r="AI31" s="16"/>
    </row>
    <row r="32" spans="1:35" ht="20.25" thickBot="1" x14ac:dyDescent="0.4">
      <c r="A32" s="43" t="s">
        <v>26</v>
      </c>
      <c r="B32" s="32">
        <f>SUMIF($P$1:$AA$1,1,C32:N32)</f>
        <v>149.80000000000001</v>
      </c>
      <c r="C32" s="33">
        <v>13.4</v>
      </c>
      <c r="D32" s="34">
        <v>14.3</v>
      </c>
      <c r="E32" s="34">
        <v>21.4</v>
      </c>
      <c r="F32" s="34">
        <f>13.1+21.6</f>
        <v>34.700000000000003</v>
      </c>
      <c r="G32" s="34">
        <v>66</v>
      </c>
      <c r="H32" s="34">
        <v>40.6</v>
      </c>
      <c r="I32" s="34">
        <f>11.5+1.1+18.1</f>
        <v>30.700000000000003</v>
      </c>
      <c r="J32" s="34">
        <v>42.1</v>
      </c>
      <c r="K32" s="34">
        <f>18.5+1.9+19.3</f>
        <v>39.700000000000003</v>
      </c>
      <c r="L32" s="34">
        <f>15.9+4.8+3.6</f>
        <v>24.3</v>
      </c>
      <c r="M32" s="34">
        <f>18.6+61.1</f>
        <v>79.7</v>
      </c>
      <c r="N32" s="35">
        <f>50+18.9</f>
        <v>68.900000000000006</v>
      </c>
      <c r="O32" s="32">
        <f t="shared" si="12"/>
        <v>469.78786772727415</v>
      </c>
      <c r="P32" s="33">
        <v>67.091804727272574</v>
      </c>
      <c r="Q32" s="34">
        <v>66.560395000000199</v>
      </c>
      <c r="R32" s="34">
        <v>149.21895100000143</v>
      </c>
      <c r="S32" s="34">
        <f>47.5842270272727+37.80418</f>
        <v>85.388407027272706</v>
      </c>
      <c r="T32" s="34">
        <v>101.52830997272727</v>
      </c>
      <c r="U32" s="34"/>
      <c r="V32" s="34"/>
      <c r="W32" s="34"/>
      <c r="X32" s="34"/>
      <c r="Y32" s="34"/>
      <c r="Z32" s="34"/>
      <c r="AA32" s="34"/>
      <c r="AB32" s="34">
        <f>O32-B32</f>
        <v>319.98786772727414</v>
      </c>
      <c r="AC32" s="36">
        <f t="shared" si="8"/>
        <v>2.1361005856293334</v>
      </c>
      <c r="AE32" s="3"/>
      <c r="AF32" s="16"/>
      <c r="AH32" s="3"/>
      <c r="AI32" s="16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Горлов Дмитрий Игоревич</cp:lastModifiedBy>
  <cp:lastPrinted>2018-01-16T11:07:47Z</cp:lastPrinted>
  <dcterms:created xsi:type="dcterms:W3CDTF">2011-12-13T08:30:24Z</dcterms:created>
  <dcterms:modified xsi:type="dcterms:W3CDTF">2018-07-04T06:09:56Z</dcterms:modified>
</cp:coreProperties>
</file>