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600" windowHeight="1234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Z34" i="1" l="1"/>
  <c r="Z33" i="1"/>
  <c r="Z31" i="1"/>
  <c r="Z30" i="1"/>
  <c r="Z27" i="1"/>
  <c r="Z26" i="1"/>
  <c r="Z25" i="1"/>
  <c r="Z24" i="1"/>
  <c r="Z23" i="1"/>
  <c r="Z22" i="1"/>
  <c r="Z20" i="1"/>
  <c r="Z19" i="1"/>
  <c r="Z18" i="1"/>
  <c r="Z17" i="1"/>
  <c r="Z16" i="1"/>
  <c r="Z14" i="1"/>
  <c r="Z13" i="1"/>
  <c r="Z11" i="1"/>
  <c r="Z12" i="1"/>
  <c r="Z9" i="1"/>
  <c r="Z8" i="1"/>
  <c r="C34" i="1" l="1"/>
  <c r="C33" i="1"/>
  <c r="C31" i="1"/>
  <c r="C30" i="1"/>
  <c r="C27" i="1"/>
  <c r="C26" i="1"/>
  <c r="C25" i="1"/>
  <c r="C24" i="1"/>
  <c r="C23" i="1"/>
  <c r="C22" i="1"/>
  <c r="C20" i="1"/>
  <c r="C19" i="1"/>
  <c r="C18" i="1"/>
  <c r="C17" i="1"/>
  <c r="C16" i="1"/>
  <c r="C14" i="1"/>
  <c r="C13" i="1"/>
  <c r="C12" i="1"/>
  <c r="C11" i="1"/>
  <c r="C9" i="1"/>
  <c r="C8" i="1"/>
  <c r="Y34" i="1" l="1"/>
  <c r="Y33" i="1"/>
  <c r="Y31" i="1"/>
  <c r="Y30" i="1"/>
  <c r="Y27" i="1"/>
  <c r="Y26" i="1"/>
  <c r="Y25" i="1"/>
  <c r="Y24" i="1"/>
  <c r="Y23" i="1"/>
  <c r="Y22" i="1"/>
  <c r="Y20" i="1"/>
  <c r="Y19" i="1"/>
  <c r="Y18" i="1"/>
  <c r="Y17" i="1"/>
  <c r="Y16" i="1"/>
  <c r="Y14" i="1"/>
  <c r="Y13" i="1"/>
  <c r="Y12" i="1"/>
  <c r="Y11" i="1"/>
  <c r="Y9" i="1"/>
  <c r="Y8" i="1"/>
  <c r="W34" i="1" l="1"/>
  <c r="W33" i="1"/>
  <c r="W31" i="1"/>
  <c r="W30" i="1"/>
  <c r="W27" i="1"/>
  <c r="W26" i="1"/>
  <c r="W25" i="1"/>
  <c r="W24" i="1"/>
  <c r="W23" i="1"/>
  <c r="W22" i="1"/>
  <c r="W20" i="1"/>
  <c r="W19" i="1"/>
  <c r="W18" i="1"/>
  <c r="W17" i="1"/>
  <c r="W16" i="1"/>
  <c r="W14" i="1"/>
  <c r="W13" i="1"/>
  <c r="W12" i="1"/>
  <c r="W11" i="1"/>
  <c r="W10" i="1" s="1"/>
  <c r="W9" i="1"/>
  <c r="W8" i="1"/>
  <c r="W29" i="1" l="1"/>
  <c r="W28" i="1" s="1"/>
  <c r="W21" i="1"/>
  <c r="W15" i="1"/>
  <c r="W32" i="1"/>
  <c r="W7" i="1"/>
  <c r="W6" i="1"/>
  <c r="V31" i="1"/>
  <c r="V24" i="1"/>
  <c r="V9" i="1"/>
  <c r="V34" i="1"/>
  <c r="V12" i="1"/>
  <c r="V8" i="1" l="1"/>
  <c r="V30" i="1"/>
  <c r="V11" i="1"/>
  <c r="V33" i="1"/>
  <c r="V14" i="1"/>
  <c r="V13" i="1"/>
  <c r="V18" i="1"/>
  <c r="V17" i="1"/>
  <c r="V25" i="1" l="1"/>
  <c r="V16" i="1"/>
  <c r="V22" i="1"/>
  <c r="V26" i="1"/>
  <c r="V20" i="1"/>
  <c r="V19" i="1"/>
  <c r="V23" i="1"/>
  <c r="T20" i="1" l="1"/>
  <c r="T34" i="1"/>
  <c r="T33" i="1"/>
  <c r="T31" i="1"/>
  <c r="T30" i="1"/>
  <c r="T26" i="1"/>
  <c r="T25" i="1"/>
  <c r="T24" i="1"/>
  <c r="T23" i="1"/>
  <c r="T22" i="1"/>
  <c r="T19" i="1"/>
  <c r="T18" i="1"/>
  <c r="T17" i="1"/>
  <c r="T16" i="1"/>
  <c r="T14" i="1"/>
  <c r="T13" i="1"/>
  <c r="T12" i="1"/>
  <c r="T11" i="1"/>
  <c r="T9" i="1"/>
  <c r="T8" i="1"/>
  <c r="C29" i="1" l="1"/>
  <c r="C28" i="1" s="1"/>
  <c r="C21" i="1"/>
  <c r="C15" i="1"/>
  <c r="C7" i="1"/>
  <c r="C10" i="1" l="1"/>
  <c r="C6" i="1" s="1"/>
  <c r="C5" i="1" s="1"/>
  <c r="C32" i="1"/>
  <c r="S34" i="1" l="1"/>
  <c r="S33" i="1"/>
  <c r="S31" i="1"/>
  <c r="S30" i="1"/>
  <c r="S26" i="1"/>
  <c r="S25" i="1"/>
  <c r="S24" i="1"/>
  <c r="S23" i="1"/>
  <c r="S22" i="1"/>
  <c r="S20" i="1"/>
  <c r="S19" i="1"/>
  <c r="S18" i="1"/>
  <c r="S17" i="1"/>
  <c r="S16" i="1"/>
  <c r="S14" i="1"/>
  <c r="S13" i="1"/>
  <c r="S12" i="1"/>
  <c r="S11" i="1"/>
  <c r="S9" i="1"/>
  <c r="S8" i="1"/>
  <c r="R31" i="1" l="1"/>
  <c r="R30" i="1"/>
  <c r="R34" i="1"/>
  <c r="R33" i="1"/>
  <c r="R26" i="1"/>
  <c r="R25" i="1"/>
  <c r="R24" i="1"/>
  <c r="R23" i="1"/>
  <c r="R22" i="1"/>
  <c r="R20" i="1"/>
  <c r="R19" i="1"/>
  <c r="R18" i="1"/>
  <c r="R17" i="1"/>
  <c r="R16" i="1"/>
  <c r="R14" i="1"/>
  <c r="R13" i="1"/>
  <c r="R12" i="1"/>
  <c r="R11" i="1"/>
  <c r="R9" i="1" l="1"/>
  <c r="R8" i="1" l="1"/>
  <c r="Y21" i="1" l="1"/>
  <c r="V10" i="1" l="1"/>
  <c r="B30" i="1" l="1"/>
  <c r="B31" i="1"/>
  <c r="B34" i="1" l="1"/>
  <c r="B33" i="1"/>
  <c r="B27" i="1"/>
  <c r="B26" i="1"/>
  <c r="B25" i="1"/>
  <c r="B24" i="1"/>
  <c r="B23" i="1"/>
  <c r="B22" i="1"/>
  <c r="B20" i="1"/>
  <c r="B19" i="1"/>
  <c r="B18" i="1"/>
  <c r="B17" i="1"/>
  <c r="B16" i="1"/>
  <c r="B14" i="1"/>
  <c r="B13" i="1"/>
  <c r="B12" i="1"/>
  <c r="B11" i="1"/>
  <c r="B9" i="1"/>
  <c r="B8" i="1"/>
  <c r="AA29" i="1" l="1"/>
  <c r="B15" i="1" l="1"/>
  <c r="B10" i="1"/>
  <c r="Y32" i="1"/>
  <c r="Y15" i="1"/>
  <c r="Y10" i="1"/>
  <c r="B29" i="1"/>
  <c r="E15" i="1"/>
  <c r="F15" i="1"/>
  <c r="G15" i="1"/>
  <c r="H15" i="1"/>
  <c r="I15" i="1"/>
  <c r="J15" i="1"/>
  <c r="D15" i="1"/>
  <c r="V15" i="1"/>
  <c r="V21" i="1"/>
  <c r="S32" i="1"/>
  <c r="S15" i="1"/>
  <c r="R15" i="1"/>
  <c r="Q15" i="1"/>
  <c r="Q10" i="1"/>
  <c r="Q32" i="1"/>
  <c r="Q7" i="1"/>
  <c r="O32" i="1"/>
  <c r="N32" i="1"/>
  <c r="M32" i="1"/>
  <c r="L32" i="1"/>
  <c r="K32" i="1"/>
  <c r="J32" i="1"/>
  <c r="I32" i="1"/>
  <c r="H32" i="1"/>
  <c r="G32" i="1"/>
  <c r="F32" i="1"/>
  <c r="E32" i="1"/>
  <c r="D32" i="1"/>
  <c r="O29" i="1"/>
  <c r="O28" i="1" s="1"/>
  <c r="N29" i="1"/>
  <c r="N28" i="1" s="1"/>
  <c r="M29" i="1"/>
  <c r="M28" i="1" s="1"/>
  <c r="L29" i="1"/>
  <c r="L28" i="1" s="1"/>
  <c r="K29" i="1"/>
  <c r="K28" i="1" s="1"/>
  <c r="J29" i="1"/>
  <c r="J28" i="1" s="1"/>
  <c r="I29" i="1"/>
  <c r="I28" i="1" s="1"/>
  <c r="H29" i="1"/>
  <c r="H28" i="1" s="1"/>
  <c r="G29" i="1"/>
  <c r="G28" i="1" s="1"/>
  <c r="F29" i="1"/>
  <c r="F28" i="1" s="1"/>
  <c r="E29" i="1"/>
  <c r="E28" i="1" s="1"/>
  <c r="D29" i="1"/>
  <c r="D28" i="1" s="1"/>
  <c r="O21" i="1"/>
  <c r="N21" i="1"/>
  <c r="M21" i="1"/>
  <c r="L21" i="1"/>
  <c r="K21" i="1"/>
  <c r="J21" i="1"/>
  <c r="I21" i="1"/>
  <c r="H21" i="1"/>
  <c r="G21" i="1"/>
  <c r="F21" i="1"/>
  <c r="E21" i="1"/>
  <c r="D21" i="1"/>
  <c r="O15" i="1"/>
  <c r="N15" i="1"/>
  <c r="M15" i="1"/>
  <c r="L15" i="1"/>
  <c r="K15" i="1"/>
  <c r="O10" i="1"/>
  <c r="N10" i="1"/>
  <c r="M10" i="1"/>
  <c r="L10" i="1"/>
  <c r="K10" i="1"/>
  <c r="J10" i="1"/>
  <c r="I10" i="1"/>
  <c r="H10" i="1"/>
  <c r="G10" i="1"/>
  <c r="F10" i="1"/>
  <c r="E10" i="1"/>
  <c r="D10" i="1"/>
  <c r="O7" i="1"/>
  <c r="O6" i="1" s="1"/>
  <c r="N7" i="1"/>
  <c r="N6" i="1" s="1"/>
  <c r="M7" i="1"/>
  <c r="M6" i="1" s="1"/>
  <c r="L7" i="1"/>
  <c r="L6" i="1" s="1"/>
  <c r="K7" i="1"/>
  <c r="K6" i="1" s="1"/>
  <c r="J7" i="1"/>
  <c r="J6" i="1" s="1"/>
  <c r="I7" i="1"/>
  <c r="I6" i="1" s="1"/>
  <c r="H7" i="1"/>
  <c r="H6" i="1" s="1"/>
  <c r="G7" i="1"/>
  <c r="G6" i="1" s="1"/>
  <c r="F7" i="1"/>
  <c r="F6" i="1" s="1"/>
  <c r="E7" i="1"/>
  <c r="E6" i="1" s="1"/>
  <c r="D7" i="1"/>
  <c r="AB15" i="1"/>
  <c r="AA15" i="1"/>
  <c r="V32" i="1"/>
  <c r="V7" i="1"/>
  <c r="V6" i="1" s="1"/>
  <c r="R32" i="1"/>
  <c r="R29" i="1"/>
  <c r="R28" i="1" s="1"/>
  <c r="R21" i="1"/>
  <c r="R10" i="1"/>
  <c r="R7" i="1"/>
  <c r="Q21" i="1"/>
  <c r="AB32" i="1"/>
  <c r="AA32" i="1"/>
  <c r="AB29" i="1"/>
  <c r="AB28" i="1" s="1"/>
  <c r="AA28" i="1"/>
  <c r="Y29" i="1"/>
  <c r="Y28" i="1" s="1"/>
  <c r="Q29" i="1"/>
  <c r="AB21" i="1"/>
  <c r="AA21" i="1"/>
  <c r="S21" i="1"/>
  <c r="AA7" i="1"/>
  <c r="Z7" i="1"/>
  <c r="S29" i="1"/>
  <c r="S28" i="1" s="1"/>
  <c r="S10" i="1"/>
  <c r="S7" i="1"/>
  <c r="T32" i="1"/>
  <c r="T29" i="1"/>
  <c r="T28" i="1" s="1"/>
  <c r="T21" i="1"/>
  <c r="T15" i="1"/>
  <c r="T7" i="1"/>
  <c r="T10" i="1"/>
  <c r="V29" i="1"/>
  <c r="V28" i="1" s="1"/>
  <c r="B32" i="1"/>
  <c r="B21" i="1"/>
  <c r="B7" i="1"/>
  <c r="Z10" i="1"/>
  <c r="Z32" i="1"/>
  <c r="Z29" i="1"/>
  <c r="Z28" i="1" s="1"/>
  <c r="Z21" i="1"/>
  <c r="Z15" i="1"/>
  <c r="D6" i="1" l="1"/>
  <c r="D5" i="1" s="1"/>
  <c r="B28" i="1"/>
  <c r="W5" i="1"/>
  <c r="S6" i="1"/>
  <c r="S5" i="1" s="1"/>
  <c r="R6" i="1"/>
  <c r="R5" i="1" s="1"/>
  <c r="T6" i="1"/>
  <c r="T5" i="1" s="1"/>
  <c r="Q28" i="1"/>
  <c r="Q6" i="1"/>
  <c r="Z6" i="1"/>
  <c r="Z5" i="1" s="1"/>
  <c r="I5" i="1"/>
  <c r="G5" i="1"/>
  <c r="K5" i="1"/>
  <c r="O5" i="1"/>
  <c r="F5" i="1"/>
  <c r="E5" i="1"/>
  <c r="M5" i="1"/>
  <c r="N5" i="1"/>
  <c r="J5" i="1"/>
  <c r="B6" i="1"/>
  <c r="V5" i="1"/>
  <c r="H5" i="1"/>
  <c r="L5" i="1"/>
  <c r="Y7" i="1"/>
  <c r="Y6" i="1" s="1"/>
  <c r="B5" i="1" l="1"/>
  <c r="Q5" i="1"/>
  <c r="Y5" i="1"/>
  <c r="AA10" i="1"/>
  <c r="AA6" i="1" s="1"/>
  <c r="AA5" i="1" s="1"/>
  <c r="AB7" i="1" l="1"/>
  <c r="AB10" i="1"/>
  <c r="AB6" i="1" l="1"/>
  <c r="AB5" i="1" s="1"/>
  <c r="U12" i="1" l="1"/>
  <c r="U31" i="1"/>
  <c r="U24" i="1"/>
  <c r="U9" i="1"/>
  <c r="U34" i="1"/>
  <c r="U13" i="1" l="1"/>
  <c r="U17" i="1"/>
  <c r="U33" i="1" l="1"/>
  <c r="U11" i="1"/>
  <c r="U26" i="1"/>
  <c r="U23" i="1"/>
  <c r="U30" i="1"/>
  <c r="U8" i="1"/>
  <c r="U14" i="1"/>
  <c r="U18" i="1" l="1"/>
  <c r="U25" i="1"/>
  <c r="U20" i="1"/>
  <c r="U16" i="1"/>
  <c r="U10" i="1"/>
  <c r="U29" i="1"/>
  <c r="U22" i="1"/>
  <c r="U7" i="1"/>
  <c r="U19" i="1"/>
  <c r="U32" i="1"/>
  <c r="U21" i="1" l="1"/>
  <c r="U6" i="1"/>
  <c r="U28" i="1"/>
  <c r="U15" i="1"/>
  <c r="U5" i="1" l="1"/>
  <c r="X31" i="1" l="1"/>
  <c r="P31" i="1" s="1"/>
  <c r="AC31" i="1" s="1"/>
  <c r="AD31" i="1" s="1"/>
  <c r="X24" i="1"/>
  <c r="P24" i="1" s="1"/>
  <c r="AC24" i="1" s="1"/>
  <c r="AD24" i="1" s="1"/>
  <c r="X9" i="1"/>
  <c r="P9" i="1" s="1"/>
  <c r="AC9" i="1" s="1"/>
  <c r="AD9" i="1" s="1"/>
  <c r="X34" i="1"/>
  <c r="P34" i="1" s="1"/>
  <c r="AC34" i="1" s="1"/>
  <c r="AD34" i="1" s="1"/>
  <c r="X12" i="1"/>
  <c r="P12" i="1" s="1"/>
  <c r="AC12" i="1" s="1"/>
  <c r="AD12" i="1" s="1"/>
  <c r="X11" i="1" l="1"/>
  <c r="X33" i="1"/>
  <c r="X8" i="1"/>
  <c r="X30" i="1"/>
  <c r="X14" i="1"/>
  <c r="P14" i="1" s="1"/>
  <c r="AC14" i="1" s="1"/>
  <c r="AD14" i="1" s="1"/>
  <c r="X13" i="1"/>
  <c r="P13" i="1" s="1"/>
  <c r="AC13" i="1" s="1"/>
  <c r="AD13" i="1" s="1"/>
  <c r="X18" i="1"/>
  <c r="P18" i="1" s="1"/>
  <c r="AC18" i="1" s="1"/>
  <c r="AD18" i="1" s="1"/>
  <c r="X17" i="1"/>
  <c r="P17" i="1" s="1"/>
  <c r="AC17" i="1" s="1"/>
  <c r="AD17" i="1" s="1"/>
  <c r="X19" i="1" l="1"/>
  <c r="P19" i="1" s="1"/>
  <c r="AC19" i="1" s="1"/>
  <c r="AD19" i="1" s="1"/>
  <c r="X23" i="1"/>
  <c r="X27" i="1"/>
  <c r="P27" i="1" s="1"/>
  <c r="AC27" i="1" s="1"/>
  <c r="AD27" i="1" s="1"/>
  <c r="X29" i="1"/>
  <c r="X28" i="1" s="1"/>
  <c r="P30" i="1"/>
  <c r="P33" i="1"/>
  <c r="X32" i="1"/>
  <c r="X16" i="1"/>
  <c r="X25" i="1"/>
  <c r="P25" i="1" s="1"/>
  <c r="AC25" i="1" s="1"/>
  <c r="AD25" i="1" s="1"/>
  <c r="X26" i="1"/>
  <c r="P26" i="1" s="1"/>
  <c r="AC26" i="1" s="1"/>
  <c r="AD26" i="1" s="1"/>
  <c r="X20" i="1"/>
  <c r="P20" i="1" s="1"/>
  <c r="AC20" i="1" s="1"/>
  <c r="AD20" i="1" s="1"/>
  <c r="X22" i="1"/>
  <c r="X7" i="1"/>
  <c r="P8" i="1"/>
  <c r="X10" i="1"/>
  <c r="P11" i="1"/>
  <c r="AC23" i="1" l="1"/>
  <c r="AD23" i="1" s="1"/>
  <c r="P23" i="1"/>
  <c r="X6" i="1"/>
  <c r="AC33" i="1"/>
  <c r="AD33" i="1" s="1"/>
  <c r="P32" i="1"/>
  <c r="AC32" i="1" s="1"/>
  <c r="AD32" i="1" s="1"/>
  <c r="AC11" i="1"/>
  <c r="AD11" i="1" s="1"/>
  <c r="P10" i="1"/>
  <c r="AC10" i="1" s="1"/>
  <c r="AD10" i="1" s="1"/>
  <c r="X21" i="1"/>
  <c r="P22" i="1"/>
  <c r="X15" i="1"/>
  <c r="P16" i="1"/>
  <c r="AC30" i="1"/>
  <c r="AD30" i="1" s="1"/>
  <c r="P29" i="1"/>
  <c r="P7" i="1"/>
  <c r="AC8" i="1"/>
  <c r="AD8" i="1" s="1"/>
  <c r="X5" i="1" l="1"/>
  <c r="AC16" i="1"/>
  <c r="AD16" i="1" s="1"/>
  <c r="P15" i="1"/>
  <c r="AC15" i="1" s="1"/>
  <c r="AD15" i="1" s="1"/>
  <c r="AC7" i="1"/>
  <c r="AD7" i="1" s="1"/>
  <c r="P6" i="1"/>
  <c r="P28" i="1"/>
  <c r="AC28" i="1" s="1"/>
  <c r="AD28" i="1" s="1"/>
  <c r="AC29" i="1"/>
  <c r="AD29" i="1" s="1"/>
  <c r="AC22" i="1"/>
  <c r="AD22" i="1" s="1"/>
  <c r="P21" i="1"/>
  <c r="AC21" i="1" s="1"/>
  <c r="AD21" i="1" s="1"/>
  <c r="P5" i="1" l="1"/>
  <c r="AC5" i="1" s="1"/>
  <c r="AD5" i="1" s="1"/>
  <c r="AC6" i="1"/>
  <c r="AD6" i="1" s="1"/>
</calcChain>
</file>

<file path=xl/sharedStrings.xml><?xml version="1.0" encoding="utf-8"?>
<sst xmlns="http://schemas.openxmlformats.org/spreadsheetml/2006/main" count="59" uniqueCount="46">
  <si>
    <t xml:space="preserve">Изменение, тыс. тонн </t>
  </si>
  <si>
    <t>Изменение, %</t>
  </si>
  <si>
    <t>2015 / 2014</t>
  </si>
  <si>
    <t>10M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</si>
  <si>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</si>
  <si>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</si>
  <si>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</si>
  <si>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</si>
  <si>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</si>
  <si>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</si>
  <si>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</si>
  <si>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</si>
  <si>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</si>
  <si>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</si>
  <si>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</si>
  <si>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</si>
  <si>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</si>
  <si>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</si>
  <si>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</si>
  <si>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</si>
  <si>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</si>
  <si>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</si>
  <si>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</si>
  <si>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</si>
  <si>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</si>
  <si>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</si>
  <si>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</si>
  <si>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</si>
  <si>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</si>
  <si>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</si>
  <si>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</si>
  <si>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</si>
  <si>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</si>
  <si>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NCSP Group Cargo Turnover for 10M 2015 (thsd.tonnes)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</si>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</sst>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1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3" fillId="0" borderId="0" xfId="0" applyFont="1" applyAlignment="1">
      <alignment horizontal="right" wrapText="1" readingOrder="1"/>
    </xf>
    <xf numFmtId="16" fontId="53" fillId="0" borderId="0" xfId="0" applyNumberFormat="1" applyFont="1" applyAlignment="1">
      <alignment horizontal="right" wrapText="1" readingOrder="1"/>
    </xf>
    <xf numFmtId="180" fontId="53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5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3" fontId="0" fillId="0" borderId="22" xfId="0" applyNumberFormat="1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165" fontId="0" fillId="0" borderId="0" xfId="800" applyNumberFormat="1" applyFont="1"/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>
      <alignment horizontal="center" vertical="center"/>
    </xf>
    <xf numFmtId="9" fontId="5" fillId="0" borderId="0" xfId="800" applyFont="1"/>
    <xf numFmtId="177" fontId="0" fillId="0" borderId="22" xfId="907" applyNumberFormat="1" applyFont="1" applyFill="1" applyBorder="1" applyAlignment="1">
      <alignment horizontal="center"/>
    </xf>
    <xf numFmtId="0" fontId="2" fillId="0" borderId="0" xfId="0" applyFont="1" applyAlignment="1">
      <alignment vertical="top"/>
    </xf>
    <xf numFmtId="177" fontId="54" fillId="0" borderId="0" xfId="0" applyNumberFormat="1" applyFont="1" applyAlignment="1">
      <alignment horizontal="right" wrapText="1" readingOrder="1"/>
    </xf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92;&#1077;&#1074;&#1088;&#1072;&#1083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84;&#1072;&#1088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72;&#1087;&#1088;&#1077;&#1083;&#110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84;&#1072;&#1081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80;&#1102;&#1085;&#110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7_2015/&#1058;&#1086;&#1085;&#1085;&#1099;%202014-2015_&#1080;&#1102;&#1083;&#1100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8_2015/&#1058;&#1086;&#1085;&#1085;&#1099;%202014-2015_&#1072;&#1074;&#1075;&#1091;&#1089;&#1090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9_2015/&#1058;&#1086;&#1085;&#1085;&#1099;%202014-2015_&#1089;&#1077;&#1085;&#1090;&#1103;&#1073;&#1088;&#1100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4-2015_&#1086;&#1082;&#1090;&#1103;&#1073;&#1088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G8">
            <v>2499.5</v>
          </cell>
        </row>
        <row r="9">
          <cell r="AG9">
            <v>3297.58</v>
          </cell>
        </row>
        <row r="11">
          <cell r="AG11">
            <v>282.10000000000002</v>
          </cell>
        </row>
        <row r="12">
          <cell r="AG12">
            <v>396.9</v>
          </cell>
        </row>
        <row r="13">
          <cell r="AG13">
            <v>5.8</v>
          </cell>
        </row>
        <row r="14">
          <cell r="AG14">
            <v>1186.25</v>
          </cell>
        </row>
        <row r="16">
          <cell r="AG16">
            <v>299</v>
          </cell>
        </row>
        <row r="17">
          <cell r="AG17">
            <v>393.5</v>
          </cell>
        </row>
        <row r="18">
          <cell r="AG18">
            <v>12.06</v>
          </cell>
        </row>
        <row r="19">
          <cell r="AG19">
            <v>14.799999999999997</v>
          </cell>
        </row>
        <row r="20">
          <cell r="AG20">
            <v>357.2</v>
          </cell>
        </row>
        <row r="25">
          <cell r="AG25">
            <v>898.70000000000016</v>
          </cell>
        </row>
        <row r="30">
          <cell r="AG30">
            <v>106.00000000000001</v>
          </cell>
        </row>
        <row r="31">
          <cell r="AG31">
            <v>180</v>
          </cell>
        </row>
        <row r="32">
          <cell r="AG32">
            <v>41.8</v>
          </cell>
        </row>
        <row r="33">
          <cell r="AG33">
            <v>108.69</v>
          </cell>
        </row>
        <row r="35">
          <cell r="AG35">
            <v>71.350000000000009</v>
          </cell>
        </row>
        <row r="37">
          <cell r="AG37">
            <v>2.0000000000010232E-2</v>
          </cell>
        </row>
        <row r="39">
          <cell r="AG39">
            <v>68.440000000000012</v>
          </cell>
        </row>
        <row r="43">
          <cell r="AG43">
            <v>40.699999999999996</v>
          </cell>
        </row>
        <row r="45">
          <cell r="AG45">
            <v>104.83000000000001</v>
          </cell>
        </row>
        <row r="47">
          <cell r="AG47">
            <v>66</v>
          </cell>
        </row>
        <row r="49">
          <cell r="AG49">
            <v>15</v>
          </cell>
        </row>
        <row r="53">
          <cell r="AG53">
            <v>35.75</v>
          </cell>
        </row>
        <row r="55">
          <cell r="AG55">
            <v>25.509999999999998</v>
          </cell>
        </row>
        <row r="62">
          <cell r="AG62">
            <v>69.02000000000001</v>
          </cell>
        </row>
        <row r="79">
          <cell r="AG79">
            <v>8.9329999999999981</v>
          </cell>
        </row>
        <row r="80">
          <cell r="AG80">
            <v>19.099999999999998</v>
          </cell>
        </row>
        <row r="81">
          <cell r="AG81">
            <v>6.6</v>
          </cell>
        </row>
        <row r="82">
          <cell r="AG82">
            <v>74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H8">
            <v>2961.2</v>
          </cell>
        </row>
        <row r="9">
          <cell r="AH9">
            <v>3523.45</v>
          </cell>
        </row>
        <row r="11">
          <cell r="AH11">
            <v>458.80000000000007</v>
          </cell>
        </row>
        <row r="12">
          <cell r="AH12">
            <v>491.4</v>
          </cell>
        </row>
        <row r="13">
          <cell r="AH13">
            <v>6.6999999999999993</v>
          </cell>
        </row>
        <row r="14">
          <cell r="AH14">
            <v>1231.5700000000002</v>
          </cell>
        </row>
        <row r="16">
          <cell r="AH16">
            <v>435.4</v>
          </cell>
        </row>
        <row r="17">
          <cell r="AH17">
            <v>466.49999999999989</v>
          </cell>
        </row>
        <row r="18">
          <cell r="AH18">
            <v>1.6400000000000006</v>
          </cell>
        </row>
        <row r="19">
          <cell r="AH19">
            <v>15.899999999999999</v>
          </cell>
        </row>
        <row r="20">
          <cell r="AH20">
            <v>492.70000000000005</v>
          </cell>
        </row>
        <row r="25">
          <cell r="AH25">
            <v>879.89999999999986</v>
          </cell>
        </row>
        <row r="30">
          <cell r="AH30">
            <v>167</v>
          </cell>
        </row>
        <row r="31">
          <cell r="AH31">
            <v>273.09999999999997</v>
          </cell>
        </row>
        <row r="32">
          <cell r="AH32">
            <v>43.300000000000011</v>
          </cell>
        </row>
        <row r="33">
          <cell r="AH33">
            <v>88.800000000000011</v>
          </cell>
        </row>
        <row r="35">
          <cell r="AH35">
            <v>102.99999999999997</v>
          </cell>
        </row>
        <row r="37">
          <cell r="AH37">
            <v>144.19999999999999</v>
          </cell>
        </row>
        <row r="39">
          <cell r="AH39">
            <v>142.29999999999998</v>
          </cell>
        </row>
        <row r="43">
          <cell r="AH43">
            <v>57.900000000000006</v>
          </cell>
        </row>
        <row r="45">
          <cell r="AH45">
            <v>165.09999999999997</v>
          </cell>
        </row>
        <row r="47">
          <cell r="AH47">
            <v>0</v>
          </cell>
        </row>
        <row r="49">
          <cell r="AH49">
            <v>7.8000000000000025</v>
          </cell>
        </row>
        <row r="53">
          <cell r="AH53">
            <v>27.6</v>
          </cell>
        </row>
        <row r="55">
          <cell r="AH55">
            <v>38.9</v>
          </cell>
        </row>
        <row r="62">
          <cell r="AH62">
            <v>121.59999999999997</v>
          </cell>
        </row>
        <row r="79">
          <cell r="AH79">
            <v>13.899999999999999</v>
          </cell>
        </row>
        <row r="80">
          <cell r="AH80">
            <v>26.500000000000007</v>
          </cell>
        </row>
        <row r="81">
          <cell r="AH81">
            <v>5.8999999999999986</v>
          </cell>
        </row>
        <row r="82">
          <cell r="AH82">
            <v>105.20000000000002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I8">
            <v>2430.2000000000007</v>
          </cell>
        </row>
        <row r="9">
          <cell r="AI9">
            <v>4085.3700000000008</v>
          </cell>
        </row>
        <row r="11">
          <cell r="AI11">
            <v>401.59999999999991</v>
          </cell>
        </row>
        <row r="12">
          <cell r="AI12">
            <v>384.10000000000014</v>
          </cell>
        </row>
        <row r="13">
          <cell r="AI13">
            <v>2.3000000000000007</v>
          </cell>
        </row>
        <row r="14">
          <cell r="AI14">
            <v>1134.6800000000003</v>
          </cell>
        </row>
        <row r="16">
          <cell r="AI16">
            <v>418.5</v>
          </cell>
        </row>
        <row r="17">
          <cell r="AI17">
            <v>491.30000000000018</v>
          </cell>
        </row>
        <row r="18">
          <cell r="AI18">
            <v>1.5999999999999979</v>
          </cell>
        </row>
        <row r="19">
          <cell r="AI19">
            <v>13.700000000000003</v>
          </cell>
        </row>
        <row r="20">
          <cell r="AI20">
            <v>302.89999999999986</v>
          </cell>
        </row>
        <row r="25">
          <cell r="AI25">
            <v>774.19999999999993</v>
          </cell>
        </row>
        <row r="30">
          <cell r="AI30">
            <v>161.49999999999994</v>
          </cell>
        </row>
        <row r="31">
          <cell r="AI31">
            <v>220.80000000000007</v>
          </cell>
        </row>
        <row r="32">
          <cell r="AI32">
            <v>44.5</v>
          </cell>
        </row>
        <row r="33">
          <cell r="AI33">
            <v>113.20000000000002</v>
          </cell>
        </row>
        <row r="35">
          <cell r="AI35">
            <v>47.800000000000011</v>
          </cell>
        </row>
        <row r="37">
          <cell r="AI37">
            <v>105.00000000000003</v>
          </cell>
        </row>
        <row r="39">
          <cell r="AI39">
            <v>97.199999999999989</v>
          </cell>
        </row>
        <row r="43">
          <cell r="AI43">
            <v>44.599999999999994</v>
          </cell>
        </row>
        <row r="45">
          <cell r="AI45">
            <v>200.10000000000002</v>
          </cell>
        </row>
        <row r="47">
          <cell r="AI47">
            <v>72.400000000000006</v>
          </cell>
        </row>
        <row r="49">
          <cell r="AI49">
            <v>21.1</v>
          </cell>
        </row>
        <row r="53">
          <cell r="AI53">
            <v>11.700000000000003</v>
          </cell>
        </row>
        <row r="55">
          <cell r="AI55">
            <v>34.600000000000009</v>
          </cell>
        </row>
        <row r="62">
          <cell r="AI62">
            <v>124.20000000000005</v>
          </cell>
        </row>
        <row r="79">
          <cell r="AI79">
            <v>11.600000000000001</v>
          </cell>
        </row>
        <row r="80">
          <cell r="AI80">
            <v>20.299999999999997</v>
          </cell>
        </row>
        <row r="81">
          <cell r="AI81">
            <v>7.1000000000000014</v>
          </cell>
        </row>
        <row r="82">
          <cell r="AI82">
            <v>81.199999999999989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J8">
            <v>2428</v>
          </cell>
        </row>
        <row r="9">
          <cell r="AJ9">
            <v>3414.1999999999989</v>
          </cell>
        </row>
        <row r="11">
          <cell r="AJ11">
            <v>295</v>
          </cell>
        </row>
        <row r="12">
          <cell r="AJ12">
            <v>236.73000000000002</v>
          </cell>
        </row>
        <row r="13">
          <cell r="AJ13">
            <v>2.2399999999999984</v>
          </cell>
        </row>
        <row r="14">
          <cell r="AJ14">
            <v>1240</v>
          </cell>
        </row>
        <row r="16">
          <cell r="AJ16">
            <v>420</v>
          </cell>
        </row>
        <row r="17">
          <cell r="AJ17">
            <v>315.09999999999991</v>
          </cell>
        </row>
        <row r="18">
          <cell r="AJ18">
            <v>1.1900000000000013</v>
          </cell>
        </row>
        <row r="19">
          <cell r="AJ19">
            <v>19.5</v>
          </cell>
        </row>
        <row r="20">
          <cell r="AJ20">
            <v>454.1</v>
          </cell>
        </row>
        <row r="25">
          <cell r="AJ25">
            <v>867.50000000000023</v>
          </cell>
        </row>
        <row r="30">
          <cell r="AJ30">
            <v>179.60000000000002</v>
          </cell>
        </row>
        <row r="31">
          <cell r="AJ31">
            <v>259.80000000000007</v>
          </cell>
        </row>
        <row r="32">
          <cell r="AJ32">
            <v>48.699999999999989</v>
          </cell>
        </row>
        <row r="33">
          <cell r="AJ33">
            <v>210.60000000000002</v>
          </cell>
        </row>
        <row r="35">
          <cell r="AJ35">
            <v>123.19999999999999</v>
          </cell>
        </row>
        <row r="37">
          <cell r="AJ37">
            <v>138.59999999999997</v>
          </cell>
        </row>
        <row r="39">
          <cell r="AJ39">
            <v>98.600000000000051</v>
          </cell>
        </row>
        <row r="43">
          <cell r="AJ43">
            <v>59.300000000000011</v>
          </cell>
        </row>
        <row r="45">
          <cell r="AJ45">
            <v>179.10000000000002</v>
          </cell>
        </row>
        <row r="47">
          <cell r="AJ47">
            <v>57.430000000000007</v>
          </cell>
        </row>
        <row r="49">
          <cell r="AJ49">
            <v>36.199999999999996</v>
          </cell>
        </row>
        <row r="53">
          <cell r="AJ53">
            <v>24.200000000000003</v>
          </cell>
        </row>
        <row r="55">
          <cell r="AJ55">
            <v>30.199999999999989</v>
          </cell>
        </row>
        <row r="62">
          <cell r="AJ62">
            <v>151.89999999999998</v>
          </cell>
        </row>
        <row r="79">
          <cell r="AJ79">
            <v>12.600000000000001</v>
          </cell>
        </row>
        <row r="80">
          <cell r="AJ80">
            <v>23.700000000000003</v>
          </cell>
        </row>
        <row r="81">
          <cell r="AJ81">
            <v>6.3999999999999986</v>
          </cell>
        </row>
        <row r="82">
          <cell r="AJ82">
            <v>107.80000000000001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K8">
            <v>2322.5</v>
          </cell>
        </row>
        <row r="9">
          <cell r="AK9">
            <v>3997.59</v>
          </cell>
        </row>
        <row r="11">
          <cell r="AK11">
            <v>428.19999999999982</v>
          </cell>
        </row>
        <row r="12">
          <cell r="AK12">
            <v>268.77</v>
          </cell>
        </row>
        <row r="13">
          <cell r="AK13">
            <v>1.4200000000000017</v>
          </cell>
        </row>
        <row r="14">
          <cell r="AK14">
            <v>1275.04</v>
          </cell>
        </row>
        <row r="16">
          <cell r="AK16">
            <v>437</v>
          </cell>
        </row>
        <row r="17">
          <cell r="AK17">
            <v>222.19999999999982</v>
          </cell>
        </row>
        <row r="18">
          <cell r="AK18">
            <v>5.6099999999999994</v>
          </cell>
        </row>
        <row r="19">
          <cell r="AK19">
            <v>17.47</v>
          </cell>
        </row>
        <row r="20">
          <cell r="AK20">
            <v>421</v>
          </cell>
        </row>
        <row r="25">
          <cell r="AK25">
            <v>823.69999999999982</v>
          </cell>
        </row>
        <row r="30">
          <cell r="AK30">
            <v>192.30000000000007</v>
          </cell>
        </row>
        <row r="31">
          <cell r="AK31">
            <v>212.79999999999995</v>
          </cell>
        </row>
        <row r="32">
          <cell r="AK32">
            <v>51.200000000000017</v>
          </cell>
        </row>
        <row r="33">
          <cell r="AK33">
            <v>199.59999999999991</v>
          </cell>
        </row>
        <row r="35">
          <cell r="AK35">
            <v>64.300000000000068</v>
          </cell>
        </row>
        <row r="37">
          <cell r="AK37">
            <v>87.800000000000011</v>
          </cell>
        </row>
        <row r="39">
          <cell r="AK39">
            <v>108.1</v>
          </cell>
        </row>
        <row r="43">
          <cell r="AK43">
            <v>65.900000000000006</v>
          </cell>
        </row>
        <row r="45">
          <cell r="AK45">
            <v>101</v>
          </cell>
        </row>
        <row r="47">
          <cell r="AK47">
            <v>70.069999999999965</v>
          </cell>
        </row>
        <row r="49">
          <cell r="AK49">
            <v>14.700000000000005</v>
          </cell>
        </row>
        <row r="53">
          <cell r="AK53">
            <v>14.5</v>
          </cell>
        </row>
        <row r="55">
          <cell r="AK55">
            <v>6</v>
          </cell>
        </row>
        <row r="62">
          <cell r="AK62">
            <v>85.5</v>
          </cell>
        </row>
        <row r="79">
          <cell r="AK79">
            <v>14.299999999999997</v>
          </cell>
        </row>
        <row r="80">
          <cell r="AK80">
            <v>20.599999999999994</v>
          </cell>
        </row>
        <row r="81">
          <cell r="AK81">
            <v>5.7000000000000028</v>
          </cell>
        </row>
        <row r="82">
          <cell r="AK82">
            <v>119.69999999999993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L8">
            <v>2587.7999999999993</v>
          </cell>
        </row>
        <row r="9">
          <cell r="AL9">
            <v>3305.2099999999991</v>
          </cell>
        </row>
        <row r="11">
          <cell r="AL11">
            <v>319.20000000000027</v>
          </cell>
        </row>
        <row r="12">
          <cell r="AL12">
            <v>224.69999999999982</v>
          </cell>
        </row>
        <row r="13">
          <cell r="AL13">
            <v>1.1900000000000013</v>
          </cell>
        </row>
        <row r="14">
          <cell r="AL14">
            <v>1148.5600000000004</v>
          </cell>
        </row>
        <row r="16">
          <cell r="AL16">
            <v>352.69999999999982</v>
          </cell>
        </row>
        <row r="17">
          <cell r="AL17">
            <v>259.20000000000027</v>
          </cell>
        </row>
        <row r="18">
          <cell r="AL18">
            <v>4.8000000000000007</v>
          </cell>
        </row>
        <row r="19">
          <cell r="AL19">
            <v>20.870000000000005</v>
          </cell>
        </row>
        <row r="20">
          <cell r="AL20">
            <v>567.5</v>
          </cell>
        </row>
        <row r="25">
          <cell r="AL25">
            <v>927.39999999999986</v>
          </cell>
        </row>
        <row r="30">
          <cell r="AL30">
            <v>207.79999999999995</v>
          </cell>
        </row>
        <row r="31">
          <cell r="AL31">
            <v>191.39999999999986</v>
          </cell>
        </row>
        <row r="32">
          <cell r="AL32">
            <v>70.800000000000011</v>
          </cell>
        </row>
        <row r="33">
          <cell r="AL33">
            <v>148.90000000000009</v>
          </cell>
        </row>
        <row r="35">
          <cell r="AL35">
            <v>127</v>
          </cell>
        </row>
        <row r="37">
          <cell r="AL37">
            <v>93.100000000000023</v>
          </cell>
        </row>
        <row r="39">
          <cell r="AL39">
            <v>94.59999999999998</v>
          </cell>
        </row>
        <row r="43">
          <cell r="AL43">
            <v>66.599999999999966</v>
          </cell>
        </row>
        <row r="45">
          <cell r="AL45">
            <v>220.19999999999993</v>
          </cell>
        </row>
        <row r="47">
          <cell r="AL47">
            <v>75.100000000000023</v>
          </cell>
        </row>
        <row r="49">
          <cell r="AL49">
            <v>3.8999999999999915</v>
          </cell>
        </row>
        <row r="53">
          <cell r="AL53">
            <v>21.5</v>
          </cell>
        </row>
        <row r="55">
          <cell r="AL55">
            <v>6</v>
          </cell>
        </row>
        <row r="62">
          <cell r="AL62">
            <v>71.399999999999977</v>
          </cell>
        </row>
        <row r="64">
          <cell r="AL64">
            <v>2.9000000000000004</v>
          </cell>
        </row>
        <row r="67">
          <cell r="AL67">
            <v>0</v>
          </cell>
        </row>
        <row r="69">
          <cell r="AL69">
            <v>3.7000000000000028</v>
          </cell>
        </row>
        <row r="74">
          <cell r="AL74">
            <v>0</v>
          </cell>
        </row>
        <row r="79">
          <cell r="AL79">
            <v>14.700000000000003</v>
          </cell>
        </row>
        <row r="80">
          <cell r="AL80">
            <v>16.599999999999994</v>
          </cell>
        </row>
        <row r="81">
          <cell r="AL81">
            <v>10.100000000000001</v>
          </cell>
        </row>
        <row r="82">
          <cell r="AL82">
            <v>121.20000000000005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  <sheetName val="Грузы (2)"/>
      <sheetName val="пояснение"/>
    </sheetNames>
    <sheetDataSet>
      <sheetData sheetId="0">
        <row r="8">
          <cell r="AM8">
            <v>2505</v>
          </cell>
        </row>
        <row r="9">
          <cell r="AM9">
            <v>3408.3300000000017</v>
          </cell>
        </row>
        <row r="11">
          <cell r="AM11">
            <v>289</v>
          </cell>
        </row>
        <row r="12">
          <cell r="AM12">
            <v>244.5</v>
          </cell>
        </row>
        <row r="13">
          <cell r="AM13">
            <v>1.3699999999999974</v>
          </cell>
        </row>
        <row r="14">
          <cell r="AM14">
            <v>1137.3499999999985</v>
          </cell>
        </row>
        <row r="16">
          <cell r="AM16">
            <v>347.5</v>
          </cell>
        </row>
        <row r="17">
          <cell r="AM17">
            <v>328</v>
          </cell>
        </row>
        <row r="18">
          <cell r="AM18">
            <v>1.8299999999999983</v>
          </cell>
        </row>
        <row r="19">
          <cell r="AM19">
            <v>20.949999999999989</v>
          </cell>
        </row>
        <row r="20">
          <cell r="AM20">
            <v>856.39999999999986</v>
          </cell>
        </row>
        <row r="25">
          <cell r="AM25">
            <v>713.50000000000068</v>
          </cell>
        </row>
        <row r="30">
          <cell r="AM30">
            <v>169.20000000000005</v>
          </cell>
        </row>
        <row r="31">
          <cell r="AM31">
            <v>182.20000000000005</v>
          </cell>
        </row>
        <row r="32">
          <cell r="AM32">
            <v>72</v>
          </cell>
        </row>
        <row r="33">
          <cell r="AM33">
            <v>252.89999999999986</v>
          </cell>
        </row>
        <row r="35">
          <cell r="AM35">
            <v>107.5</v>
          </cell>
        </row>
        <row r="37">
          <cell r="AM37">
            <v>0</v>
          </cell>
        </row>
        <row r="39">
          <cell r="AM39">
            <v>94.9</v>
          </cell>
        </row>
        <row r="43">
          <cell r="AM43">
            <v>47.300000000000011</v>
          </cell>
        </row>
        <row r="45">
          <cell r="AM45">
            <v>175.40000000000009</v>
          </cell>
        </row>
        <row r="47">
          <cell r="AM47">
            <v>80.600000000000023</v>
          </cell>
        </row>
        <row r="49">
          <cell r="AM49">
            <v>2.2000000000000028</v>
          </cell>
        </row>
        <row r="53">
          <cell r="AM53">
            <v>14.799999999999983</v>
          </cell>
        </row>
        <row r="55">
          <cell r="AM55">
            <v>0</v>
          </cell>
        </row>
        <row r="57">
          <cell r="AM57">
            <v>0</v>
          </cell>
        </row>
        <row r="62">
          <cell r="AM62">
            <v>173.20000000000005</v>
          </cell>
        </row>
        <row r="64">
          <cell r="AM64">
            <v>9</v>
          </cell>
        </row>
        <row r="67">
          <cell r="AM67">
            <v>0</v>
          </cell>
        </row>
        <row r="69">
          <cell r="AM69">
            <v>8.3000000000000007</v>
          </cell>
        </row>
        <row r="79">
          <cell r="AM79">
            <v>12.900000000000006</v>
          </cell>
        </row>
        <row r="80">
          <cell r="AM80">
            <v>13.900000000000006</v>
          </cell>
        </row>
        <row r="81">
          <cell r="AM81">
            <v>10.399999999999999</v>
          </cell>
        </row>
        <row r="82">
          <cell r="AM82">
            <v>86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  <sheetName val="пояснение"/>
      <sheetName val="Грузы (2)"/>
    </sheetNames>
    <sheetDataSet>
      <sheetData sheetId="0">
        <row r="8">
          <cell r="AN8">
            <v>2443.5999999999985</v>
          </cell>
        </row>
        <row r="9">
          <cell r="AN9">
            <v>3891.4700000000012</v>
          </cell>
        </row>
        <row r="11">
          <cell r="AN11">
            <v>249.5</v>
          </cell>
        </row>
        <row r="12">
          <cell r="AN12">
            <v>221.90000000000009</v>
          </cell>
        </row>
        <row r="13">
          <cell r="AN13">
            <v>0.82000000000000028</v>
          </cell>
        </row>
        <row r="14">
          <cell r="AN14">
            <v>1073.8500000000004</v>
          </cell>
        </row>
        <row r="16">
          <cell r="AN16">
            <v>413.80000000000018</v>
          </cell>
        </row>
        <row r="17">
          <cell r="AN17">
            <v>386.5</v>
          </cell>
        </row>
        <row r="18">
          <cell r="AN18">
            <v>4.9699999999999989</v>
          </cell>
        </row>
        <row r="19">
          <cell r="AN19">
            <v>7.7700000000000102</v>
          </cell>
        </row>
        <row r="20">
          <cell r="AN20">
            <v>534.70000000000027</v>
          </cell>
        </row>
        <row r="25">
          <cell r="AN25">
            <v>827.69999999999891</v>
          </cell>
        </row>
        <row r="30">
          <cell r="AN30">
            <v>195.20000000000005</v>
          </cell>
        </row>
        <row r="31">
          <cell r="AN31">
            <v>186.60000000000014</v>
          </cell>
        </row>
        <row r="32">
          <cell r="AN32">
            <v>73.699999999999989</v>
          </cell>
        </row>
        <row r="33">
          <cell r="AN33">
            <v>183.40000000000009</v>
          </cell>
        </row>
        <row r="35">
          <cell r="AN35">
            <v>85.599999999999909</v>
          </cell>
        </row>
        <row r="37">
          <cell r="AN37">
            <v>92</v>
          </cell>
        </row>
        <row r="39">
          <cell r="AN39">
            <v>85.999999999999972</v>
          </cell>
        </row>
        <row r="43">
          <cell r="AN43">
            <v>49.100000000000023</v>
          </cell>
        </row>
        <row r="45">
          <cell r="AN45">
            <v>195.20000000000005</v>
          </cell>
        </row>
        <row r="47">
          <cell r="AN47">
            <v>64.899999999999977</v>
          </cell>
        </row>
        <row r="49">
          <cell r="AN49">
            <v>0</v>
          </cell>
        </row>
        <row r="53">
          <cell r="AN53">
            <v>15.900000000000006</v>
          </cell>
        </row>
        <row r="55">
          <cell r="AN55">
            <v>0</v>
          </cell>
        </row>
        <row r="57">
          <cell r="AN57">
            <v>0</v>
          </cell>
        </row>
        <row r="62">
          <cell r="AN62">
            <v>125.99999999999989</v>
          </cell>
        </row>
        <row r="64">
          <cell r="AN64">
            <v>0</v>
          </cell>
        </row>
        <row r="67">
          <cell r="AN67">
            <v>4.6999999999999993</v>
          </cell>
        </row>
        <row r="69">
          <cell r="AN69">
            <v>1.5</v>
          </cell>
        </row>
        <row r="79">
          <cell r="AN79">
            <v>14.899999999999991</v>
          </cell>
        </row>
        <row r="80">
          <cell r="AN80">
            <v>14.099999999999994</v>
          </cell>
        </row>
        <row r="81">
          <cell r="AN81">
            <v>10.100000000000001</v>
          </cell>
        </row>
        <row r="82">
          <cell r="AN82">
            <v>86.799999999999955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  <sheetName val="пояснение"/>
      <sheetName val="Грузы (2)"/>
    </sheetNames>
    <sheetDataSet>
      <sheetData sheetId="0">
        <row r="8">
          <cell r="AO8">
            <v>2725.2000000000007</v>
          </cell>
        </row>
        <row r="9">
          <cell r="AO9">
            <v>3828.010000000002</v>
          </cell>
        </row>
        <row r="10">
          <cell r="AO10">
            <v>1923.27</v>
          </cell>
        </row>
        <row r="14">
          <cell r="AO14">
            <v>1251.42</v>
          </cell>
        </row>
        <row r="15">
          <cell r="AO15">
            <v>684.88999999999965</v>
          </cell>
        </row>
        <row r="18">
          <cell r="AO18">
            <v>1.3000000000000043</v>
          </cell>
        </row>
        <row r="20">
          <cell r="AO20">
            <v>768.69999999999982</v>
          </cell>
        </row>
        <row r="25">
          <cell r="AO25">
            <v>853.40000000000055</v>
          </cell>
        </row>
        <row r="30">
          <cell r="AO30">
            <v>164.59999999999991</v>
          </cell>
        </row>
        <row r="31">
          <cell r="AO31">
            <v>161.5</v>
          </cell>
        </row>
        <row r="32">
          <cell r="AO32">
            <v>57.999999999999943</v>
          </cell>
        </row>
        <row r="33">
          <cell r="AO33">
            <v>179.70000000000005</v>
          </cell>
        </row>
        <row r="35">
          <cell r="AO35">
            <v>156.20000000000005</v>
          </cell>
        </row>
        <row r="37">
          <cell r="AO37">
            <v>0</v>
          </cell>
        </row>
        <row r="39">
          <cell r="AO39">
            <v>101.00000000000003</v>
          </cell>
        </row>
        <row r="43">
          <cell r="AO43">
            <v>52.599999999999966</v>
          </cell>
        </row>
        <row r="45">
          <cell r="AO45">
            <v>138.79999999999995</v>
          </cell>
        </row>
        <row r="47">
          <cell r="AO47">
            <v>58.100000000000023</v>
          </cell>
        </row>
        <row r="49">
          <cell r="AO49">
            <v>7.3000000000000007</v>
          </cell>
        </row>
        <row r="53">
          <cell r="AO53">
            <v>23.400000000000006</v>
          </cell>
        </row>
        <row r="55">
          <cell r="AO55">
            <v>12</v>
          </cell>
        </row>
        <row r="57">
          <cell r="AO57">
            <v>0</v>
          </cell>
        </row>
        <row r="62">
          <cell r="AO62">
            <v>133.10000000000014</v>
          </cell>
        </row>
        <row r="64">
          <cell r="AO64">
            <v>5.5</v>
          </cell>
        </row>
        <row r="67">
          <cell r="AO67">
            <v>1.0999999999999996</v>
          </cell>
        </row>
        <row r="69">
          <cell r="AO69">
            <v>7.1000000000000005</v>
          </cell>
        </row>
        <row r="74">
          <cell r="AO74">
            <v>0</v>
          </cell>
        </row>
        <row r="79">
          <cell r="AO79">
            <v>12.900000000000006</v>
          </cell>
        </row>
        <row r="80">
          <cell r="AO80">
            <v>12.599999999999994</v>
          </cell>
        </row>
        <row r="81">
          <cell r="AO81">
            <v>7.3999999999999915</v>
          </cell>
        </row>
        <row r="82">
          <cell r="AO82">
            <v>95.600000000000023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58"/>
  <sheetViews>
    <sheetView tabSelected="1" zoomScaleNormal="100" workbookViewId="0">
      <pane xSplit="1" topLeftCell="B1" activePane="topRight" state="frozen"/>
      <selection pane="topRight" activeCell="Q4" sqref="Q4:AB4"/>
    </sheetView>
  </sheetViews>
  <sheetFormatPr defaultRowHeight="12.75" outlineLevelCol="1" x14ac:dyDescent="0.2"/>
  <cols>
    <col min="1" max="1" width="40.85546875" customWidth="1"/>
    <col min="2" max="3" width="11.28515625" style="1" customWidth="1"/>
    <col min="4" max="13" width="10.7109375" customWidth="1"/>
    <col min="14" max="14" width="10.7109375" hidden="1" customWidth="1" outlineLevel="1" collapsed="1"/>
    <col min="15" max="15" width="10.7109375" hidden="1" customWidth="1" outlineLevel="1"/>
    <col min="16" max="16" width="10.7109375" style="1" customWidth="1" collapsed="1"/>
    <col min="17" max="26" width="10.7109375" customWidth="1"/>
    <col min="27" max="28" width="10.7109375" hidden="1" customWidth="1" outlineLevel="1"/>
    <col min="29" max="29" width="12.140625" style="2" customWidth="1" collapsed="1"/>
    <col min="30" max="30" width="12.140625" customWidth="1"/>
    <col min="31" max="31" width="12.42578125" customWidth="1"/>
    <col min="32" max="32" width="12.85546875" customWidth="1"/>
  </cols>
  <sheetData>
    <row r="2" spans="1:33" ht="23.25" x14ac:dyDescent="0.35">
      <c r="A2" s="9" t="s">
        <v>33</v>
      </c>
    </row>
    <row r="3" spans="1:33" s="23" customFormat="1" ht="15" customHeight="1" x14ac:dyDescent="0.2">
      <c r="A3" s="38"/>
      <c r="B3" s="21"/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1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39" t="s">
        <v>2</v>
      </c>
      <c r="AD3" s="40"/>
      <c r="AE3" s="36"/>
    </row>
    <row r="4" spans="1:33" s="23" customFormat="1" ht="30.75" customHeight="1" x14ac:dyDescent="0.2">
      <c r="A4" s="38"/>
      <c r="B4" s="32">
        <v>2014</v>
      </c>
      <c r="C4" s="32" t="s">
        <v>3</v>
      </c>
      <c r="D4" s="33" t="s">
        <v>34</v>
      </c>
      <c r="E4" s="33" t="s">
        <v>35</v>
      </c>
      <c r="F4" s="33" t="s">
        <v>36</v>
      </c>
      <c r="G4" s="33" t="s">
        <v>37</v>
      </c>
      <c r="H4" s="33" t="s">
        <v>38</v>
      </c>
      <c r="I4" s="33" t="s">
        <v>39</v>
      </c>
      <c r="J4" s="33" t="s">
        <v>40</v>
      </c>
      <c r="K4" s="33" t="s">
        <v>41</v>
      </c>
      <c r="L4" s="33" t="s">
        <v>42</v>
      </c>
      <c r="M4" s="33" t="s">
        <v>43</v>
      </c>
      <c r="N4" s="33" t="s">
        <v>44</v>
      </c>
      <c r="O4" s="33" t="s">
        <v>45</v>
      </c>
      <c r="P4" s="32">
        <v>2015</v>
      </c>
      <c r="Q4" s="33" t="s">
        <v>34</v>
      </c>
      <c r="R4" s="33" t="s">
        <v>35</v>
      </c>
      <c r="S4" s="33" t="s">
        <v>36</v>
      </c>
      <c r="T4" s="33" t="s">
        <v>37</v>
      </c>
      <c r="U4" s="33" t="s">
        <v>38</v>
      </c>
      <c r="V4" s="33" t="s">
        <v>39</v>
      </c>
      <c r="W4" s="33" t="s">
        <v>40</v>
      </c>
      <c r="X4" s="33" t="s">
        <v>41</v>
      </c>
      <c r="Y4" s="33" t="s">
        <v>42</v>
      </c>
      <c r="Z4" s="33" t="s">
        <v>43</v>
      </c>
      <c r="AA4" s="33" t="s">
        <v>44</v>
      </c>
      <c r="AB4" s="33" t="s">
        <v>45</v>
      </c>
      <c r="AC4" s="29" t="s">
        <v>0</v>
      </c>
      <c r="AD4" s="30" t="s">
        <v>1</v>
      </c>
    </row>
    <row r="5" spans="1:33" x14ac:dyDescent="0.2">
      <c r="A5" s="3" t="s">
        <v>4</v>
      </c>
      <c r="B5" s="11">
        <f t="shared" ref="B5:AB5" si="0">B6+B15+B21+B28</f>
        <v>131131.73000000001</v>
      </c>
      <c r="C5" s="11">
        <f t="shared" si="0"/>
        <v>111699.13999999998</v>
      </c>
      <c r="D5" s="11">
        <f t="shared" si="0"/>
        <v>10902.9</v>
      </c>
      <c r="E5" s="11">
        <f t="shared" si="0"/>
        <v>10651.81</v>
      </c>
      <c r="F5" s="11">
        <f t="shared" si="0"/>
        <v>12065.6</v>
      </c>
      <c r="G5" s="11">
        <f t="shared" si="0"/>
        <v>12472.880999999999</v>
      </c>
      <c r="H5" s="11">
        <f t="shared" si="0"/>
        <v>12032.968999999999</v>
      </c>
      <c r="I5" s="11">
        <f t="shared" si="0"/>
        <v>10618.19</v>
      </c>
      <c r="J5" s="11">
        <f t="shared" si="0"/>
        <v>10870.81</v>
      </c>
      <c r="K5" s="11">
        <f t="shared" si="0"/>
        <v>10630.66</v>
      </c>
      <c r="L5" s="11">
        <f t="shared" si="0"/>
        <v>10771.720000000005</v>
      </c>
      <c r="M5" s="11">
        <f t="shared" si="0"/>
        <v>10681.6</v>
      </c>
      <c r="N5" s="11">
        <f t="shared" si="0"/>
        <v>10391.129999999999</v>
      </c>
      <c r="O5" s="11">
        <f t="shared" si="0"/>
        <v>9041.4599999999991</v>
      </c>
      <c r="P5" s="11">
        <f t="shared" si="0"/>
        <v>116012.50000000001</v>
      </c>
      <c r="Q5" s="11">
        <f t="shared" si="0"/>
        <v>12666.5</v>
      </c>
      <c r="R5" s="11">
        <f t="shared" si="0"/>
        <v>10602.720000000001</v>
      </c>
      <c r="S5" s="11">
        <f t="shared" si="0"/>
        <v>12356.460000000001</v>
      </c>
      <c r="T5" s="11">
        <f t="shared" si="0"/>
        <v>11750.35</v>
      </c>
      <c r="U5" s="11">
        <f t="shared" si="0"/>
        <v>11307.490000000002</v>
      </c>
      <c r="V5" s="11">
        <f t="shared" si="0"/>
        <v>11501.869999999999</v>
      </c>
      <c r="W5" s="11">
        <f t="shared" si="0"/>
        <v>11124.029999999999</v>
      </c>
      <c r="X5" s="11">
        <f t="shared" si="0"/>
        <v>11243.23</v>
      </c>
      <c r="Y5" s="11">
        <f t="shared" si="0"/>
        <v>11416.38</v>
      </c>
      <c r="Z5" s="11">
        <f t="shared" si="0"/>
        <v>12043.470000000005</v>
      </c>
      <c r="AA5" s="11">
        <f t="shared" si="0"/>
        <v>0</v>
      </c>
      <c r="AB5" s="11">
        <f t="shared" si="0"/>
        <v>0</v>
      </c>
      <c r="AC5" s="11">
        <f>P5-C5</f>
        <v>4313.3600000000297</v>
      </c>
      <c r="AD5" s="26">
        <f>AC5/C5</f>
        <v>3.8615874750692177E-2</v>
      </c>
      <c r="AE5" s="27"/>
      <c r="AF5" s="31"/>
    </row>
    <row r="6" spans="1:33" x14ac:dyDescent="0.2">
      <c r="A6" s="4" t="s">
        <v>5</v>
      </c>
      <c r="B6" s="12">
        <f>B7+B10+B13+B14</f>
        <v>101498.83000000002</v>
      </c>
      <c r="C6" s="12">
        <f t="shared" ref="C6" si="1">C7+C10+C13+C14</f>
        <v>87559.34</v>
      </c>
      <c r="D6" s="12">
        <f t="shared" ref="D6:N6" si="2">D7+D10+D13+D14</f>
        <v>8822.7000000000007</v>
      </c>
      <c r="E6" s="12">
        <f t="shared" si="2"/>
        <v>8429.6099999999988</v>
      </c>
      <c r="F6" s="12">
        <f t="shared" si="2"/>
        <v>9691.2999999999993</v>
      </c>
      <c r="G6" s="12">
        <f t="shared" si="2"/>
        <v>9811.08</v>
      </c>
      <c r="H6" s="12">
        <f t="shared" si="2"/>
        <v>9493.2699999999986</v>
      </c>
      <c r="I6" s="12">
        <f t="shared" si="2"/>
        <v>8685.1800000000021</v>
      </c>
      <c r="J6" s="12">
        <f t="shared" si="2"/>
        <v>8531.5399999999991</v>
      </c>
      <c r="K6" s="12">
        <f t="shared" si="2"/>
        <v>7690.8400000000011</v>
      </c>
      <c r="L6" s="12">
        <f t="shared" si="2"/>
        <v>8180.6200000000026</v>
      </c>
      <c r="M6" s="12">
        <f t="shared" si="2"/>
        <v>8223.1999999999989</v>
      </c>
      <c r="N6" s="12">
        <f t="shared" si="2"/>
        <v>7663.33</v>
      </c>
      <c r="O6" s="12">
        <f>O7+O10+O13+O14</f>
        <v>6276.1600000000008</v>
      </c>
      <c r="P6" s="12">
        <f t="shared" ref="P6" si="3">P7+P10+P13+P14</f>
        <v>89995.680000000008</v>
      </c>
      <c r="Q6" s="12">
        <f>Q7+Q10+Q13+Q14</f>
        <v>10243.1</v>
      </c>
      <c r="R6" s="12">
        <f t="shared" ref="R6:AA6" si="4">R7+R10+R13+R14</f>
        <v>8479</v>
      </c>
      <c r="S6" s="12">
        <f t="shared" si="4"/>
        <v>9631.4600000000009</v>
      </c>
      <c r="T6" s="12">
        <f>T7+T10+T13+T14</f>
        <v>9470.3500000000022</v>
      </c>
      <c r="U6" s="12">
        <f t="shared" si="4"/>
        <v>8459.59</v>
      </c>
      <c r="V6" s="12">
        <f t="shared" si="4"/>
        <v>9051.869999999999</v>
      </c>
      <c r="W6" s="12">
        <f t="shared" si="4"/>
        <v>8305.33</v>
      </c>
      <c r="X6" s="12">
        <f>X7+X10+X13+X14</f>
        <v>8364.43</v>
      </c>
      <c r="Y6" s="12">
        <f t="shared" si="4"/>
        <v>8759.08</v>
      </c>
      <c r="Z6" s="12">
        <f t="shared" si="4"/>
        <v>9231.470000000003</v>
      </c>
      <c r="AA6" s="12">
        <f t="shared" si="4"/>
        <v>0</v>
      </c>
      <c r="AB6" s="12">
        <f>AB7+AB10+AB13+AB14</f>
        <v>0</v>
      </c>
      <c r="AC6" s="12">
        <f t="shared" ref="AC6:AC34" si="5">P6-C6</f>
        <v>2436.3400000000111</v>
      </c>
      <c r="AD6" s="24">
        <f t="shared" ref="AD6:AD34" si="6">AC6/C6</f>
        <v>2.7825015583717409E-2</v>
      </c>
      <c r="AE6" s="27"/>
      <c r="AF6" s="31"/>
    </row>
    <row r="7" spans="1:33" x14ac:dyDescent="0.2">
      <c r="A7" s="5" t="s">
        <v>6</v>
      </c>
      <c r="B7" s="14">
        <f>SUM(B8:B9)</f>
        <v>72779.960000000006</v>
      </c>
      <c r="C7" s="14">
        <f>SUM(C8:C9)</f>
        <v>63262.090000000004</v>
      </c>
      <c r="D7" s="14">
        <f t="shared" ref="D7:O7" si="7">SUM(D8:D9)</f>
        <v>6351.2</v>
      </c>
      <c r="E7" s="14">
        <f t="shared" si="7"/>
        <v>6170.3</v>
      </c>
      <c r="F7" s="14">
        <f t="shared" si="7"/>
        <v>6969.5</v>
      </c>
      <c r="G7" s="14">
        <f t="shared" si="7"/>
        <v>7066.76</v>
      </c>
      <c r="H7" s="14">
        <f t="shared" si="7"/>
        <v>6954.739999999998</v>
      </c>
      <c r="I7" s="14">
        <f t="shared" si="7"/>
        <v>6249.7100000000009</v>
      </c>
      <c r="J7" s="14">
        <f t="shared" si="7"/>
        <v>6002.8599999999988</v>
      </c>
      <c r="K7" s="14">
        <f t="shared" si="7"/>
        <v>5417.1500000000005</v>
      </c>
      <c r="L7" s="14">
        <f t="shared" si="7"/>
        <v>5960.3700000000026</v>
      </c>
      <c r="M7" s="14">
        <f t="shared" si="7"/>
        <v>6119.4999999999964</v>
      </c>
      <c r="N7" s="14">
        <f t="shared" si="7"/>
        <v>5459.4000000000015</v>
      </c>
      <c r="O7" s="14">
        <f t="shared" si="7"/>
        <v>4058.4700000000012</v>
      </c>
      <c r="P7" s="14">
        <f>SUM(P8:P9)</f>
        <v>62881.210000000006</v>
      </c>
      <c r="Q7" s="14">
        <f>SUM(Q8:Q9)</f>
        <v>7227</v>
      </c>
      <c r="R7" s="14">
        <f>SUM(R8:R9)</f>
        <v>5797.08</v>
      </c>
      <c r="S7" s="14">
        <f t="shared" ref="S7:AA7" si="8">SUM(S8:S9)</f>
        <v>6484.65</v>
      </c>
      <c r="T7" s="14">
        <f>SUM(T8:T9)</f>
        <v>6515.5700000000015</v>
      </c>
      <c r="U7" s="14">
        <f t="shared" si="8"/>
        <v>5842.1999999999989</v>
      </c>
      <c r="V7" s="14">
        <f t="shared" si="8"/>
        <v>6320.09</v>
      </c>
      <c r="W7" s="14">
        <f t="shared" si="8"/>
        <v>5893.0099999999984</v>
      </c>
      <c r="X7" s="14">
        <f>SUM(X8:X9)</f>
        <v>5913.3300000000017</v>
      </c>
      <c r="Y7" s="14">
        <f t="shared" si="8"/>
        <v>6335.07</v>
      </c>
      <c r="Z7" s="14">
        <f t="shared" si="8"/>
        <v>6553.2100000000028</v>
      </c>
      <c r="AA7" s="14">
        <f t="shared" si="8"/>
        <v>0</v>
      </c>
      <c r="AB7" s="14">
        <f>SUM(AB8:AB9)</f>
        <v>0</v>
      </c>
      <c r="AC7" s="14">
        <f t="shared" si="5"/>
        <v>-380.87999999999738</v>
      </c>
      <c r="AD7" s="25">
        <f t="shared" si="6"/>
        <v>-6.0206673538606989E-3</v>
      </c>
      <c r="AE7" s="27"/>
      <c r="AF7" s="31"/>
    </row>
    <row r="8" spans="1:33" s="7" customFormat="1" x14ac:dyDescent="0.2">
      <c r="A8" s="6" t="s">
        <v>7</v>
      </c>
      <c r="B8" s="13">
        <f>SUM(D8:O8)</f>
        <v>30426.1</v>
      </c>
      <c r="C8" s="13">
        <f>SUM(D8:M8)</f>
        <v>26538.5</v>
      </c>
      <c r="D8" s="13">
        <v>2657</v>
      </c>
      <c r="E8" s="13">
        <v>2553.8000000000002</v>
      </c>
      <c r="F8" s="13">
        <v>3155.9999999999991</v>
      </c>
      <c r="G8" s="13">
        <v>2861.5300000000007</v>
      </c>
      <c r="H8" s="13">
        <v>2944.0699999999997</v>
      </c>
      <c r="I8" s="13">
        <v>2635.4499999999989</v>
      </c>
      <c r="J8" s="13">
        <v>2495.7000000000007</v>
      </c>
      <c r="K8" s="13">
        <v>2119.9500000000007</v>
      </c>
      <c r="L8" s="13">
        <v>2617.7999999999993</v>
      </c>
      <c r="M8" s="13">
        <v>2497.2000000000007</v>
      </c>
      <c r="N8" s="13">
        <v>2136</v>
      </c>
      <c r="O8" s="13">
        <v>1751.5999999999985</v>
      </c>
      <c r="P8" s="13">
        <f>SUM(Q8:AB8)</f>
        <v>26030.799999999999</v>
      </c>
      <c r="Q8" s="13">
        <v>3127.8</v>
      </c>
      <c r="R8" s="13">
        <f>[18]объемы!$AG$8</f>
        <v>2499.5</v>
      </c>
      <c r="S8" s="13">
        <f>[19]объемы!$AH$8</f>
        <v>2961.2</v>
      </c>
      <c r="T8" s="13">
        <f>[20]объемы!$AI$8</f>
        <v>2430.2000000000007</v>
      </c>
      <c r="U8" s="13">
        <f>[21]объемы!$AJ$8</f>
        <v>2428</v>
      </c>
      <c r="V8" s="13">
        <f>[22]объемы!$AK$8</f>
        <v>2322.5</v>
      </c>
      <c r="W8" s="13">
        <f>[23]объемы!$AL$8</f>
        <v>2587.7999999999993</v>
      </c>
      <c r="X8" s="13">
        <f>[24]объемы!$AM$8</f>
        <v>2505</v>
      </c>
      <c r="Y8" s="13">
        <f>[25]объемы!$AN$8</f>
        <v>2443.5999999999985</v>
      </c>
      <c r="Z8" s="13">
        <f>[26]объемы!$AO$8</f>
        <v>2725.2000000000007</v>
      </c>
      <c r="AA8" s="13"/>
      <c r="AB8" s="13"/>
      <c r="AC8" s="14">
        <f t="shared" si="5"/>
        <v>-507.70000000000073</v>
      </c>
      <c r="AD8" s="25">
        <f t="shared" si="6"/>
        <v>-1.913069691203349E-2</v>
      </c>
      <c r="AE8" s="27"/>
      <c r="AF8" s="31"/>
    </row>
    <row r="9" spans="1:33" s="7" customFormat="1" x14ac:dyDescent="0.2">
      <c r="A9" s="6" t="s">
        <v>8</v>
      </c>
      <c r="B9" s="13">
        <f>SUM(D9:O9)</f>
        <v>42353.860000000008</v>
      </c>
      <c r="C9" s="13">
        <f>SUM(D9:M9)</f>
        <v>36723.590000000004</v>
      </c>
      <c r="D9" s="14">
        <v>3694.2</v>
      </c>
      <c r="E9" s="13">
        <v>3616.5</v>
      </c>
      <c r="F9" s="13">
        <v>3813.5000000000009</v>
      </c>
      <c r="G9" s="14">
        <v>4205.2299999999996</v>
      </c>
      <c r="H9" s="13">
        <v>4010.6699999999983</v>
      </c>
      <c r="I9" s="13">
        <v>3614.260000000002</v>
      </c>
      <c r="J9" s="13">
        <v>3507.1599999999985</v>
      </c>
      <c r="K9" s="13">
        <v>3297.2</v>
      </c>
      <c r="L9" s="13">
        <v>3342.5700000000033</v>
      </c>
      <c r="M9" s="13">
        <v>3622.2999999999956</v>
      </c>
      <c r="N9" s="13">
        <v>3323.4000000000015</v>
      </c>
      <c r="O9" s="13">
        <v>2306.8700000000026</v>
      </c>
      <c r="P9" s="13">
        <f>SUM(Q9:AB9)</f>
        <v>36850.410000000003</v>
      </c>
      <c r="Q9" s="14">
        <v>4099.2</v>
      </c>
      <c r="R9" s="13">
        <f>[18]объемы!$AG$9</f>
        <v>3297.58</v>
      </c>
      <c r="S9" s="13">
        <f>[19]объемы!$AH$9</f>
        <v>3523.45</v>
      </c>
      <c r="T9" s="14">
        <f>[20]объемы!$AI$9</f>
        <v>4085.3700000000008</v>
      </c>
      <c r="U9" s="13">
        <f>[21]объемы!$AJ$9</f>
        <v>3414.1999999999989</v>
      </c>
      <c r="V9" s="13">
        <f>[22]объемы!$AK$9</f>
        <v>3997.59</v>
      </c>
      <c r="W9" s="13">
        <f>[23]объемы!$AL$9</f>
        <v>3305.2099999999991</v>
      </c>
      <c r="X9" s="13">
        <f>[24]объемы!$AM$9</f>
        <v>3408.3300000000017</v>
      </c>
      <c r="Y9" s="13">
        <f>[25]объемы!$AN$9</f>
        <v>3891.4700000000012</v>
      </c>
      <c r="Z9" s="13">
        <f>[26]объемы!$AO$9</f>
        <v>3828.010000000002</v>
      </c>
      <c r="AA9" s="13"/>
      <c r="AB9" s="13"/>
      <c r="AC9" s="14">
        <f t="shared" si="5"/>
        <v>126.81999999999971</v>
      </c>
      <c r="AD9" s="25">
        <f t="shared" si="6"/>
        <v>3.4533660788610182E-3</v>
      </c>
      <c r="AE9" s="27"/>
      <c r="AF9" s="31"/>
    </row>
    <row r="10" spans="1:33" x14ac:dyDescent="0.2">
      <c r="A10" s="5" t="s">
        <v>9</v>
      </c>
      <c r="B10" s="14">
        <f>SUM(B11:B12)</f>
        <v>27784.959999999999</v>
      </c>
      <c r="C10" s="14">
        <f>SUM(C11:C12)</f>
        <v>23478.940000000002</v>
      </c>
      <c r="D10" s="14">
        <f t="shared" ref="D10:L10" si="9">SUM(D11:D12)</f>
        <v>2379.8000000000002</v>
      </c>
      <c r="E10" s="14">
        <f t="shared" si="9"/>
        <v>2184.6</v>
      </c>
      <c r="F10" s="14">
        <f t="shared" si="9"/>
        <v>2614.5</v>
      </c>
      <c r="G10" s="14">
        <f t="shared" si="9"/>
        <v>2672.25</v>
      </c>
      <c r="H10" s="14">
        <f t="shared" si="9"/>
        <v>2460.2000000000007</v>
      </c>
      <c r="I10" s="14">
        <f t="shared" si="9"/>
        <v>2345.62</v>
      </c>
      <c r="J10" s="14">
        <f t="shared" si="9"/>
        <v>2421.69</v>
      </c>
      <c r="K10" s="14">
        <f t="shared" si="9"/>
        <v>2180.4300000000003</v>
      </c>
      <c r="L10" s="14">
        <f t="shared" si="9"/>
        <v>2161.0500000000002</v>
      </c>
      <c r="M10" s="14">
        <f>SUM(M11:M12)</f>
        <v>2058.8000000000011</v>
      </c>
      <c r="N10" s="14">
        <f>SUM(N11:N12)</f>
        <v>2155.429999999998</v>
      </c>
      <c r="O10" s="14">
        <f>SUM(O11:O12)</f>
        <v>2150.5899999999992</v>
      </c>
      <c r="P10" s="35">
        <f>SUM(P11:P12)</f>
        <v>26371.260000000002</v>
      </c>
      <c r="Q10" s="14">
        <f>SUM(Q11:Q12)</f>
        <v>2970.7</v>
      </c>
      <c r="R10" s="14">
        <f t="shared" ref="R10:AB10" si="10">SUM(R11:R12)</f>
        <v>2590.41</v>
      </c>
      <c r="S10" s="14">
        <f t="shared" si="10"/>
        <v>3107.9100000000008</v>
      </c>
      <c r="T10" s="14">
        <f>SUM(T11:T12)</f>
        <v>2847.7800000000007</v>
      </c>
      <c r="U10" s="14">
        <f t="shared" si="10"/>
        <v>2529.7600000000002</v>
      </c>
      <c r="V10" s="14">
        <f t="shared" si="10"/>
        <v>2655.7099999999996</v>
      </c>
      <c r="W10" s="14">
        <f t="shared" si="10"/>
        <v>2331.2200000000003</v>
      </c>
      <c r="X10" s="14">
        <f>SUM(X11:X12)</f>
        <v>2370.4999999999982</v>
      </c>
      <c r="Y10" s="14">
        <f t="shared" si="10"/>
        <v>2359.1100000000006</v>
      </c>
      <c r="Z10" s="14">
        <f>SUM(Z11:Z12)</f>
        <v>2608.16</v>
      </c>
      <c r="AA10" s="14">
        <f t="shared" si="10"/>
        <v>0</v>
      </c>
      <c r="AB10" s="14">
        <f t="shared" si="10"/>
        <v>0</v>
      </c>
      <c r="AC10" s="14">
        <f t="shared" si="5"/>
        <v>2892.3199999999997</v>
      </c>
      <c r="AD10" s="25">
        <f t="shared" si="6"/>
        <v>0.12318784408495441</v>
      </c>
      <c r="AE10" s="27"/>
      <c r="AF10" s="31"/>
    </row>
    <row r="11" spans="1:33" s="7" customFormat="1" x14ac:dyDescent="0.2">
      <c r="A11" s="6" t="s">
        <v>10</v>
      </c>
      <c r="B11" s="13">
        <f t="shared" ref="B11:B27" si="11">SUM(D11:O11)</f>
        <v>16406.7</v>
      </c>
      <c r="C11" s="13">
        <f t="shared" ref="C11:C14" si="12">SUM(D11:M11)</f>
        <v>14113.800000000001</v>
      </c>
      <c r="D11" s="13">
        <v>1404.1</v>
      </c>
      <c r="E11" s="13">
        <v>1272.1999999999998</v>
      </c>
      <c r="F11" s="13">
        <v>1710.8</v>
      </c>
      <c r="G11" s="13">
        <v>1657.0499999999997</v>
      </c>
      <c r="H11" s="13">
        <v>1468.5500000000002</v>
      </c>
      <c r="I11" s="13">
        <v>1380.3799999999999</v>
      </c>
      <c r="J11" s="13">
        <v>1476.0900000000001</v>
      </c>
      <c r="K11" s="13">
        <v>1302.0300000000004</v>
      </c>
      <c r="L11" s="13">
        <v>1208.3999999999999</v>
      </c>
      <c r="M11" s="13">
        <v>1234.2000000000003</v>
      </c>
      <c r="N11" s="13">
        <v>1186.9999999999995</v>
      </c>
      <c r="O11" s="13">
        <v>1105.8999999999994</v>
      </c>
      <c r="P11" s="13">
        <f t="shared" ref="P11:P14" si="13">SUM(Q11:AB11)</f>
        <v>14349.340000000002</v>
      </c>
      <c r="Q11" s="13">
        <v>1662.5</v>
      </c>
      <c r="R11" s="13">
        <f>[18]объемы!$AG$11+[18]объемы!$AG$12+[18]объемы!$AG$13+[18]объемы!$AG$16+[18]объемы!$AG$17+[18]объемы!$AG$19</f>
        <v>1392.1</v>
      </c>
      <c r="S11" s="13">
        <f>[19]объемы!$AH$11+[19]объемы!$AH$12+[19]объемы!$AH$13+[19]объемы!$AH$16+[19]объемы!$AH$17+[19]объемы!$AH$19</f>
        <v>1874.7000000000003</v>
      </c>
      <c r="T11" s="13">
        <f>[20]объемы!$AI$11+[20]объемы!$AI$12+[20]объемы!$AI$13+[20]объемы!$AI$16+[20]объемы!$AI$17+[20]объемы!$AI$19</f>
        <v>1711.5000000000002</v>
      </c>
      <c r="U11" s="13">
        <f>[21]объемы!$AJ$11+[21]объемы!$AJ$12+[21]объемы!$AJ$13+[21]объемы!$AJ$16+[21]объемы!$AJ$17+[21]объемы!$AJ$19</f>
        <v>1288.57</v>
      </c>
      <c r="V11" s="13">
        <f>[22]объемы!$AK$11+[22]объемы!$AK$12+[22]объемы!$AK$13+[22]объемы!$AK$16+[22]объемы!$AK$17+[22]объемы!$AK$19</f>
        <v>1375.0599999999997</v>
      </c>
      <c r="W11" s="13">
        <f>[23]объемы!$AL$11+[23]объемы!$AL$12+[23]объемы!$AL$13+[23]объемы!$AL$16+[23]объемы!$AL$17+[23]объемы!$AL$19</f>
        <v>1177.8600000000001</v>
      </c>
      <c r="X11" s="13">
        <f>[24]объемы!$AM$11+[24]объемы!$AM$12+[24]объемы!$AM$13+[24]объемы!$AM$16+[24]объемы!$AM$17+[24]объемы!$AM$19</f>
        <v>1231.32</v>
      </c>
      <c r="Y11" s="13">
        <f>[25]объемы!$AN$11+[25]объемы!$AN$12+[25]объемы!$AN$13+[25]объемы!$AN$16+[25]объемы!$AN$17+[25]объемы!$AN$19</f>
        <v>1280.2900000000002</v>
      </c>
      <c r="Z11" s="13">
        <f>[26]объемы!$AO$10+[26]объемы!$AO$15-[26]объемы!$AO$14-[26]объемы!$AO$18</f>
        <v>1355.4399999999998</v>
      </c>
      <c r="AA11" s="13"/>
      <c r="AB11" s="13"/>
      <c r="AC11" s="14">
        <f t="shared" si="5"/>
        <v>235.54000000000087</v>
      </c>
      <c r="AD11" s="25">
        <f t="shared" si="6"/>
        <v>1.668863098527688E-2</v>
      </c>
      <c r="AE11" s="27"/>
      <c r="AF11" s="31"/>
      <c r="AG11" s="34"/>
    </row>
    <row r="12" spans="1:33" s="7" customFormat="1" x14ac:dyDescent="0.2">
      <c r="A12" s="6" t="s">
        <v>11</v>
      </c>
      <c r="B12" s="13">
        <f t="shared" si="11"/>
        <v>11378.26</v>
      </c>
      <c r="C12" s="13">
        <f t="shared" si="12"/>
        <v>9365.1400000000012</v>
      </c>
      <c r="D12" s="13">
        <v>975.7</v>
      </c>
      <c r="E12" s="13">
        <v>912.40000000000009</v>
      </c>
      <c r="F12" s="13">
        <v>903.69999999999982</v>
      </c>
      <c r="G12" s="13">
        <v>1015.2</v>
      </c>
      <c r="H12" s="13">
        <v>991.65000000000043</v>
      </c>
      <c r="I12" s="13">
        <v>965.24</v>
      </c>
      <c r="J12" s="13">
        <v>945.6</v>
      </c>
      <c r="K12" s="13">
        <v>878.4</v>
      </c>
      <c r="L12" s="13">
        <v>952.65000000000032</v>
      </c>
      <c r="M12" s="13">
        <v>824.6000000000007</v>
      </c>
      <c r="N12" s="13">
        <v>968.42999999999859</v>
      </c>
      <c r="O12" s="13">
        <v>1044.6899999999998</v>
      </c>
      <c r="P12" s="13">
        <f t="shared" si="13"/>
        <v>12021.919999999998</v>
      </c>
      <c r="Q12" s="13">
        <v>1308.2</v>
      </c>
      <c r="R12" s="13">
        <f>[18]объемы!$AG$14+[18]объемы!$AG$18</f>
        <v>1198.31</v>
      </c>
      <c r="S12" s="13">
        <f>[19]объемы!$AH$14+[19]объемы!$AH$18</f>
        <v>1233.2100000000003</v>
      </c>
      <c r="T12" s="13">
        <f>[20]объемы!$AI$14+[20]объемы!$AI$18</f>
        <v>1136.2800000000002</v>
      </c>
      <c r="U12" s="13">
        <f>[21]объемы!$AJ$14+[21]объемы!$AJ$18</f>
        <v>1241.19</v>
      </c>
      <c r="V12" s="13">
        <f>[22]объемы!$AK$14+[22]объемы!$AK$18</f>
        <v>1280.6499999999999</v>
      </c>
      <c r="W12" s="13">
        <f>[23]объемы!$AL$14+[23]объемы!$AL$18</f>
        <v>1153.3600000000004</v>
      </c>
      <c r="X12" s="13">
        <f>[24]объемы!$AM$14+[24]объемы!$AM$18</f>
        <v>1139.1799999999985</v>
      </c>
      <c r="Y12" s="13">
        <f>[25]объемы!$AN$14+[25]объемы!$AN$18</f>
        <v>1078.8200000000004</v>
      </c>
      <c r="Z12" s="13">
        <f>[26]объемы!$AO$14+[26]объемы!$AO$18</f>
        <v>1252.72</v>
      </c>
      <c r="AA12" s="13"/>
      <c r="AB12" s="13"/>
      <c r="AC12" s="14">
        <f t="shared" si="5"/>
        <v>2656.779999999997</v>
      </c>
      <c r="AD12" s="25">
        <f t="shared" si="6"/>
        <v>0.28368823103552071</v>
      </c>
      <c r="AE12" s="27"/>
      <c r="AF12" s="31"/>
      <c r="AG12" s="34"/>
    </row>
    <row r="13" spans="1:33" x14ac:dyDescent="0.2">
      <c r="A13" s="5" t="s">
        <v>12</v>
      </c>
      <c r="B13" s="13">
        <f t="shared" si="11"/>
        <v>644.20000000000005</v>
      </c>
      <c r="C13" s="13">
        <f t="shared" si="12"/>
        <v>564.79999999999995</v>
      </c>
      <c r="D13" s="14">
        <v>55</v>
      </c>
      <c r="E13" s="14">
        <v>48.3</v>
      </c>
      <c r="F13" s="14">
        <v>64.500000000000014</v>
      </c>
      <c r="G13" s="14">
        <v>48</v>
      </c>
      <c r="H13" s="14">
        <v>55</v>
      </c>
      <c r="I13" s="14">
        <v>54.979999999999961</v>
      </c>
      <c r="J13" s="14">
        <v>81.190000000000055</v>
      </c>
      <c r="K13" s="14">
        <v>75.42999999999995</v>
      </c>
      <c r="L13" s="14">
        <v>51.200000000000045</v>
      </c>
      <c r="M13" s="14">
        <v>31.199999999999932</v>
      </c>
      <c r="N13" s="14">
        <v>36.300000000000068</v>
      </c>
      <c r="O13" s="14">
        <v>43.100000000000023</v>
      </c>
      <c r="P13" s="13">
        <f t="shared" si="13"/>
        <v>577.6</v>
      </c>
      <c r="Q13" s="14">
        <v>33</v>
      </c>
      <c r="R13" s="14">
        <f>[18]объемы!$AG$47</f>
        <v>66</v>
      </c>
      <c r="S13" s="14">
        <f>[19]объемы!$AH$47</f>
        <v>0</v>
      </c>
      <c r="T13" s="14">
        <f>[20]объемы!$AI$47</f>
        <v>72.400000000000006</v>
      </c>
      <c r="U13" s="14">
        <f>[21]объемы!$AJ$47</f>
        <v>57.430000000000007</v>
      </c>
      <c r="V13" s="14">
        <f>[22]объемы!$AK$47</f>
        <v>70.069999999999965</v>
      </c>
      <c r="W13" s="14">
        <f>[23]объемы!$AL$47</f>
        <v>75.100000000000023</v>
      </c>
      <c r="X13" s="14">
        <f>[24]объемы!$AM$47</f>
        <v>80.600000000000023</v>
      </c>
      <c r="Y13" s="14">
        <f>[25]объемы!$AN$47</f>
        <v>64.899999999999977</v>
      </c>
      <c r="Z13" s="14">
        <f>[26]объемы!$AO$47</f>
        <v>58.100000000000023</v>
      </c>
      <c r="AA13" s="14"/>
      <c r="AB13" s="14"/>
      <c r="AC13" s="14">
        <f t="shared" si="5"/>
        <v>12.800000000000068</v>
      </c>
      <c r="AD13" s="25">
        <f t="shared" si="6"/>
        <v>2.266288951841372E-2</v>
      </c>
      <c r="AE13" s="27"/>
      <c r="AF13" s="31"/>
    </row>
    <row r="14" spans="1:33" x14ac:dyDescent="0.2">
      <c r="A14" s="5" t="s">
        <v>13</v>
      </c>
      <c r="B14" s="13">
        <f t="shared" si="11"/>
        <v>289.71000000000004</v>
      </c>
      <c r="C14" s="13">
        <f t="shared" si="12"/>
        <v>253.51000000000002</v>
      </c>
      <c r="D14" s="14">
        <v>36.700000000000003</v>
      </c>
      <c r="E14" s="14">
        <v>26.410000000000004</v>
      </c>
      <c r="F14" s="14">
        <v>42.800000000000004</v>
      </c>
      <c r="G14" s="14">
        <v>24.069999999999993</v>
      </c>
      <c r="H14" s="14">
        <v>23.330000000000013</v>
      </c>
      <c r="I14" s="14">
        <v>34.869999999999976</v>
      </c>
      <c r="J14" s="14">
        <v>25.800000000000011</v>
      </c>
      <c r="K14" s="14">
        <v>17.830000000000013</v>
      </c>
      <c r="L14" s="14">
        <v>8</v>
      </c>
      <c r="M14" s="14">
        <v>13.699999999999989</v>
      </c>
      <c r="N14" s="14">
        <v>12.199999999999989</v>
      </c>
      <c r="O14" s="14">
        <v>24</v>
      </c>
      <c r="P14" s="13">
        <f t="shared" si="13"/>
        <v>165.61</v>
      </c>
      <c r="Q14" s="14">
        <v>12.4</v>
      </c>
      <c r="R14" s="14">
        <f>[18]объемы!$AG$55</f>
        <v>25.509999999999998</v>
      </c>
      <c r="S14" s="14">
        <f>[19]объемы!$AH$55</f>
        <v>38.9</v>
      </c>
      <c r="T14" s="14">
        <f>[20]объемы!$AI$55</f>
        <v>34.600000000000009</v>
      </c>
      <c r="U14" s="14">
        <f>[21]объемы!$AJ$55</f>
        <v>30.199999999999989</v>
      </c>
      <c r="V14" s="14">
        <f>[22]объемы!$AK$55</f>
        <v>6</v>
      </c>
      <c r="W14" s="14">
        <f>[23]объемы!$AL$55</f>
        <v>6</v>
      </c>
      <c r="X14" s="14">
        <f>[24]объемы!$AM$55</f>
        <v>0</v>
      </c>
      <c r="Y14" s="14">
        <f>[25]объемы!$AN$55</f>
        <v>0</v>
      </c>
      <c r="Z14" s="14">
        <f>[26]объемы!$AO$55</f>
        <v>12</v>
      </c>
      <c r="AA14" s="14"/>
      <c r="AB14" s="14"/>
      <c r="AC14" s="14">
        <f t="shared" si="5"/>
        <v>-87.9</v>
      </c>
      <c r="AD14" s="25">
        <f t="shared" si="6"/>
        <v>-0.34673188434381286</v>
      </c>
      <c r="AE14" s="27"/>
      <c r="AF14" s="31"/>
    </row>
    <row r="15" spans="1:33" x14ac:dyDescent="0.2">
      <c r="A15" s="4" t="s">
        <v>14</v>
      </c>
      <c r="B15" s="12">
        <f t="shared" ref="B15:AB15" si="14">SUM(B16:B20)</f>
        <v>12292.77</v>
      </c>
      <c r="C15" s="12">
        <f t="shared" si="14"/>
        <v>9753.4699999999993</v>
      </c>
      <c r="D15" s="12">
        <f t="shared" si="14"/>
        <v>730.3</v>
      </c>
      <c r="E15" s="12">
        <f t="shared" si="14"/>
        <v>803.17000000000007</v>
      </c>
      <c r="F15" s="12">
        <f t="shared" si="14"/>
        <v>869.09999999999991</v>
      </c>
      <c r="G15" s="12">
        <f t="shared" si="14"/>
        <v>1140.5</v>
      </c>
      <c r="H15" s="12">
        <f t="shared" si="14"/>
        <v>831.10000000000036</v>
      </c>
      <c r="I15" s="12">
        <f t="shared" si="14"/>
        <v>526.80999999999983</v>
      </c>
      <c r="J15" s="12">
        <f t="shared" si="14"/>
        <v>942.42000000000007</v>
      </c>
      <c r="K15" s="12">
        <f t="shared" si="14"/>
        <v>1420.3699999999994</v>
      </c>
      <c r="L15" s="12">
        <f t="shared" si="14"/>
        <v>1350.7000000000003</v>
      </c>
      <c r="M15" s="12">
        <f t="shared" si="14"/>
        <v>1139</v>
      </c>
      <c r="N15" s="12">
        <f t="shared" si="14"/>
        <v>1256.8</v>
      </c>
      <c r="O15" s="12">
        <f t="shared" si="14"/>
        <v>1282.5000000000002</v>
      </c>
      <c r="P15" s="12">
        <f t="shared" si="14"/>
        <v>9996.1299999999992</v>
      </c>
      <c r="Q15" s="12">
        <f t="shared" si="14"/>
        <v>963.2</v>
      </c>
      <c r="R15" s="12">
        <f t="shared" si="14"/>
        <v>642.03</v>
      </c>
      <c r="S15" s="12">
        <f t="shared" si="14"/>
        <v>977.90000000000009</v>
      </c>
      <c r="T15" s="12">
        <f t="shared" si="14"/>
        <v>704.8</v>
      </c>
      <c r="U15" s="12">
        <f t="shared" si="14"/>
        <v>1102.5999999999999</v>
      </c>
      <c r="V15" s="12">
        <f t="shared" si="14"/>
        <v>872.7</v>
      </c>
      <c r="W15" s="12">
        <f t="shared" si="14"/>
        <v>1029.4000000000001</v>
      </c>
      <c r="X15" s="12">
        <f t="shared" si="14"/>
        <v>1404.7999999999997</v>
      </c>
      <c r="Y15" s="12">
        <f t="shared" si="14"/>
        <v>1037.6000000000001</v>
      </c>
      <c r="Z15" s="12">
        <f t="shared" si="14"/>
        <v>1261.1000000000001</v>
      </c>
      <c r="AA15" s="12">
        <f t="shared" si="14"/>
        <v>0</v>
      </c>
      <c r="AB15" s="12">
        <f t="shared" si="14"/>
        <v>0</v>
      </c>
      <c r="AC15" s="12">
        <f t="shared" si="5"/>
        <v>242.65999999999985</v>
      </c>
      <c r="AD15" s="24">
        <f t="shared" si="6"/>
        <v>2.4879350631108708E-2</v>
      </c>
      <c r="AE15" s="27"/>
      <c r="AF15" s="31"/>
    </row>
    <row r="16" spans="1:33" x14ac:dyDescent="0.2">
      <c r="A16" s="5" t="s">
        <v>15</v>
      </c>
      <c r="B16" s="28">
        <f t="shared" si="11"/>
        <v>7434.7999999999993</v>
      </c>
      <c r="C16" s="13">
        <f t="shared" ref="C16:C20" si="15">SUM(D16:M16)</f>
        <v>5830.7999999999993</v>
      </c>
      <c r="D16" s="14">
        <v>377.7</v>
      </c>
      <c r="E16" s="14">
        <v>472.90000000000003</v>
      </c>
      <c r="F16" s="14">
        <v>601.5</v>
      </c>
      <c r="G16" s="14">
        <v>653.08999999999992</v>
      </c>
      <c r="H16" s="14">
        <v>397.4100000000002</v>
      </c>
      <c r="I16" s="14">
        <v>37.429999999999836</v>
      </c>
      <c r="J16" s="14">
        <v>549.61000000000013</v>
      </c>
      <c r="K16" s="14">
        <v>984.65999999999963</v>
      </c>
      <c r="L16" s="14">
        <v>962.40000000000055</v>
      </c>
      <c r="M16" s="14">
        <v>794.09999999999991</v>
      </c>
      <c r="N16" s="14">
        <v>794.09999999999991</v>
      </c>
      <c r="O16" s="14">
        <v>809.90000000000009</v>
      </c>
      <c r="P16" s="28">
        <f t="shared" ref="P16:P20" si="16">SUM(Q16:AB16)</f>
        <v>5268.5999999999995</v>
      </c>
      <c r="Q16" s="14">
        <v>513.4</v>
      </c>
      <c r="R16" s="14">
        <f>[18]объемы!$AG$20</f>
        <v>357.2</v>
      </c>
      <c r="S16" s="14">
        <f>[19]объемы!$AH$20</f>
        <v>492.70000000000005</v>
      </c>
      <c r="T16" s="14">
        <f>[20]объемы!$AI$20</f>
        <v>302.89999999999986</v>
      </c>
      <c r="U16" s="14">
        <f>[21]объемы!$AJ$20</f>
        <v>454.1</v>
      </c>
      <c r="V16" s="14">
        <f>[22]объемы!$AK$20</f>
        <v>421</v>
      </c>
      <c r="W16" s="14">
        <f>[23]объемы!$AL$20</f>
        <v>567.5</v>
      </c>
      <c r="X16" s="14">
        <f>[24]объемы!$AM$20</f>
        <v>856.39999999999986</v>
      </c>
      <c r="Y16" s="14">
        <f>[25]объемы!$AN$20</f>
        <v>534.70000000000027</v>
      </c>
      <c r="Z16" s="14">
        <f>[26]объемы!$AO$20</f>
        <v>768.69999999999982</v>
      </c>
      <c r="AA16" s="14"/>
      <c r="AB16" s="14"/>
      <c r="AC16" s="14">
        <f t="shared" si="5"/>
        <v>-562.19999999999982</v>
      </c>
      <c r="AD16" s="25">
        <f t="shared" si="6"/>
        <v>-9.6419016258489379E-2</v>
      </c>
      <c r="AE16" s="27"/>
      <c r="AF16" s="31"/>
    </row>
    <row r="17" spans="1:32" x14ac:dyDescent="0.2">
      <c r="A17" s="5" t="s">
        <v>16</v>
      </c>
      <c r="B17" s="28">
        <f t="shared" si="11"/>
        <v>794.13000000000011</v>
      </c>
      <c r="C17" s="13">
        <f t="shared" si="15"/>
        <v>588.13000000000011</v>
      </c>
      <c r="D17" s="14">
        <v>54.4</v>
      </c>
      <c r="E17" s="14">
        <v>53.13</v>
      </c>
      <c r="F17" s="14">
        <v>23.900000000000006</v>
      </c>
      <c r="G17" s="14">
        <v>22.75</v>
      </c>
      <c r="H17" s="14">
        <v>98.85</v>
      </c>
      <c r="I17" s="14">
        <v>82.699999999999989</v>
      </c>
      <c r="J17" s="14">
        <v>31.579999999999984</v>
      </c>
      <c r="K17" s="14">
        <v>80.720000000000027</v>
      </c>
      <c r="L17" s="14">
        <v>42.199999999999989</v>
      </c>
      <c r="M17" s="14">
        <v>97.900000000000034</v>
      </c>
      <c r="N17" s="14">
        <v>84.100000000000023</v>
      </c>
      <c r="O17" s="14">
        <v>121.89999999999998</v>
      </c>
      <c r="P17" s="28">
        <f t="shared" si="16"/>
        <v>1003.45</v>
      </c>
      <c r="Q17" s="14">
        <v>117.5</v>
      </c>
      <c r="R17" s="14">
        <f>[18]объемы!$AG$35</f>
        <v>71.350000000000009</v>
      </c>
      <c r="S17" s="14">
        <f>[19]объемы!$AH$35</f>
        <v>102.99999999999997</v>
      </c>
      <c r="T17" s="14">
        <f>[20]объемы!$AI$35</f>
        <v>47.800000000000011</v>
      </c>
      <c r="U17" s="14">
        <f>[21]объемы!$AJ$35</f>
        <v>123.19999999999999</v>
      </c>
      <c r="V17" s="14">
        <f>[22]объемы!$AK$35</f>
        <v>64.300000000000068</v>
      </c>
      <c r="W17" s="14">
        <f>[23]объемы!$AL$35</f>
        <v>127</v>
      </c>
      <c r="X17" s="14">
        <f>[24]объемы!$AM$35</f>
        <v>107.5</v>
      </c>
      <c r="Y17" s="14">
        <f>[25]объемы!$AN$35</f>
        <v>85.599999999999909</v>
      </c>
      <c r="Z17" s="14">
        <f>[26]объемы!$AO$35</f>
        <v>156.20000000000005</v>
      </c>
      <c r="AA17" s="14"/>
      <c r="AB17" s="14"/>
      <c r="AC17" s="14">
        <f t="shared" si="5"/>
        <v>415.31999999999994</v>
      </c>
      <c r="AD17" s="25">
        <f t="shared" si="6"/>
        <v>0.70617040450240565</v>
      </c>
      <c r="AE17" s="27"/>
      <c r="AF17" s="31"/>
    </row>
    <row r="18" spans="1:32" x14ac:dyDescent="0.2">
      <c r="A18" s="5" t="s">
        <v>17</v>
      </c>
      <c r="B18" s="28">
        <f t="shared" si="11"/>
        <v>1169.8800000000001</v>
      </c>
      <c r="C18" s="13">
        <f t="shared" si="15"/>
        <v>915.18000000000006</v>
      </c>
      <c r="D18" s="14">
        <v>85.1</v>
      </c>
      <c r="E18" s="14">
        <v>111.28</v>
      </c>
      <c r="F18" s="14">
        <v>138.79999999999998</v>
      </c>
      <c r="G18" s="14">
        <v>136.09000000000003</v>
      </c>
      <c r="H18" s="14">
        <v>92.20999999999998</v>
      </c>
      <c r="I18" s="14">
        <v>106.52999999999997</v>
      </c>
      <c r="J18" s="14">
        <v>45.430000000000064</v>
      </c>
      <c r="K18" s="14">
        <v>52.639999999999986</v>
      </c>
      <c r="L18" s="14">
        <v>74.799999999999955</v>
      </c>
      <c r="M18" s="14">
        <v>72.300000000000068</v>
      </c>
      <c r="N18" s="14">
        <v>87.699999999999932</v>
      </c>
      <c r="O18" s="14">
        <v>167.00000000000011</v>
      </c>
      <c r="P18" s="28">
        <f t="shared" si="16"/>
        <v>768.62</v>
      </c>
      <c r="Q18" s="14">
        <v>107.9</v>
      </c>
      <c r="R18" s="14">
        <f>[18]объемы!$AG$37</f>
        <v>2.0000000000010232E-2</v>
      </c>
      <c r="S18" s="14">
        <f>[19]объемы!$AH$37</f>
        <v>144.19999999999999</v>
      </c>
      <c r="T18" s="14">
        <f>[20]объемы!$AI$37</f>
        <v>105.00000000000003</v>
      </c>
      <c r="U18" s="14">
        <f>[21]объемы!$AJ$37</f>
        <v>138.59999999999997</v>
      </c>
      <c r="V18" s="14">
        <f>[22]объемы!$AK$37</f>
        <v>87.800000000000011</v>
      </c>
      <c r="W18" s="14">
        <f>[23]объемы!$AL$37</f>
        <v>93.100000000000023</v>
      </c>
      <c r="X18" s="14">
        <f>[24]объемы!$AM$37</f>
        <v>0</v>
      </c>
      <c r="Y18" s="14">
        <f>[25]объемы!$AN$37</f>
        <v>92</v>
      </c>
      <c r="Z18" s="14">
        <f>[26]объемы!$AO$37</f>
        <v>0</v>
      </c>
      <c r="AA18" s="14"/>
      <c r="AB18" s="14"/>
      <c r="AC18" s="14">
        <f t="shared" si="5"/>
        <v>-146.56000000000006</v>
      </c>
      <c r="AD18" s="25">
        <f t="shared" si="6"/>
        <v>-0.16014335977621894</v>
      </c>
      <c r="AE18" s="27"/>
      <c r="AF18" s="31"/>
    </row>
    <row r="19" spans="1:32" x14ac:dyDescent="0.2">
      <c r="A19" s="5" t="s">
        <v>18</v>
      </c>
      <c r="B19" s="28">
        <f t="shared" si="11"/>
        <v>1693.0799999999997</v>
      </c>
      <c r="C19" s="13">
        <f t="shared" si="15"/>
        <v>1488.8799999999997</v>
      </c>
      <c r="D19" s="14">
        <v>166.5</v>
      </c>
      <c r="E19" s="14">
        <v>103.57999999999998</v>
      </c>
      <c r="F19" s="14">
        <v>53</v>
      </c>
      <c r="G19" s="14">
        <v>227.59999999999997</v>
      </c>
      <c r="H19" s="14">
        <v>123.2</v>
      </c>
      <c r="I19" s="14">
        <v>218.18</v>
      </c>
      <c r="J19" s="14">
        <v>135.23999999999995</v>
      </c>
      <c r="K19" s="14">
        <v>182.98000000000008</v>
      </c>
      <c r="L19" s="14">
        <v>174.6</v>
      </c>
      <c r="M19" s="14">
        <v>103.99999999999983</v>
      </c>
      <c r="N19" s="14">
        <v>137.5</v>
      </c>
      <c r="O19" s="14">
        <v>66.700000000000045</v>
      </c>
      <c r="P19" s="28">
        <f t="shared" si="16"/>
        <v>1735.7400000000002</v>
      </c>
      <c r="Q19" s="14">
        <v>60.6</v>
      </c>
      <c r="R19" s="14">
        <f>[18]объемы!$AG$33+[18]объемы!$AG$53</f>
        <v>144.44</v>
      </c>
      <c r="S19" s="14">
        <f>[19]объемы!$AH$33+[19]объемы!$AH$53</f>
        <v>116.4</v>
      </c>
      <c r="T19" s="14">
        <f>[20]объемы!$AI$33+[20]объемы!$AI$53</f>
        <v>124.90000000000002</v>
      </c>
      <c r="U19" s="14">
        <f>[21]объемы!$AJ$33+[21]объемы!$AJ$53</f>
        <v>234.8</v>
      </c>
      <c r="V19" s="14">
        <f>[22]объемы!$AK$33+[22]объемы!$AK$53</f>
        <v>214.09999999999991</v>
      </c>
      <c r="W19" s="14">
        <f>[23]объемы!$AL$33+[23]объемы!$AL$53</f>
        <v>170.40000000000009</v>
      </c>
      <c r="X19" s="14">
        <f>[24]объемы!$AM$33+[24]объемы!$AM$53</f>
        <v>267.69999999999982</v>
      </c>
      <c r="Y19" s="14">
        <f>[25]объемы!$AN$33+[25]объемы!$AN$53</f>
        <v>199.3000000000001</v>
      </c>
      <c r="Z19" s="14">
        <f>[26]объемы!$AO$33+[26]объемы!$AO$53</f>
        <v>203.10000000000005</v>
      </c>
      <c r="AA19" s="14"/>
      <c r="AB19" s="14"/>
      <c r="AC19" s="14">
        <f t="shared" si="5"/>
        <v>246.86000000000058</v>
      </c>
      <c r="AD19" s="25">
        <f t="shared" si="6"/>
        <v>0.16580248240288045</v>
      </c>
      <c r="AE19" s="27"/>
      <c r="AF19" s="31"/>
    </row>
    <row r="20" spans="1:32" x14ac:dyDescent="0.2">
      <c r="A20" s="5" t="s">
        <v>19</v>
      </c>
      <c r="B20" s="28">
        <f t="shared" si="11"/>
        <v>1200.8800000000001</v>
      </c>
      <c r="C20" s="13">
        <f t="shared" si="15"/>
        <v>930.48</v>
      </c>
      <c r="D20" s="14">
        <v>46.6</v>
      </c>
      <c r="E20" s="14">
        <v>62.280000000000008</v>
      </c>
      <c r="F20" s="14">
        <v>51.900000000000006</v>
      </c>
      <c r="G20" s="14">
        <v>100.96999999999997</v>
      </c>
      <c r="H20" s="14">
        <v>119.43</v>
      </c>
      <c r="I20" s="14">
        <v>81.970000000000027</v>
      </c>
      <c r="J20" s="14">
        <v>180.56</v>
      </c>
      <c r="K20" s="14">
        <v>119.37</v>
      </c>
      <c r="L20" s="14">
        <v>96.699999999999932</v>
      </c>
      <c r="M20" s="14">
        <v>70.700000000000045</v>
      </c>
      <c r="N20" s="14">
        <v>153.40000000000009</v>
      </c>
      <c r="O20" s="14">
        <v>117</v>
      </c>
      <c r="P20" s="28">
        <f t="shared" si="16"/>
        <v>1219.72</v>
      </c>
      <c r="Q20" s="14">
        <v>163.80000000000001</v>
      </c>
      <c r="R20" s="14">
        <f>[18]объемы!$AG$62</f>
        <v>69.02000000000001</v>
      </c>
      <c r="S20" s="14">
        <f>[19]объемы!$AH$62</f>
        <v>121.59999999999997</v>
      </c>
      <c r="T20" s="14">
        <f>[20]объемы!$AI$62</f>
        <v>124.20000000000005</v>
      </c>
      <c r="U20" s="14">
        <f>[21]объемы!$AJ$62</f>
        <v>151.89999999999998</v>
      </c>
      <c r="V20" s="14">
        <f>[22]объемы!$AK$62</f>
        <v>85.5</v>
      </c>
      <c r="W20" s="14">
        <f>[23]объемы!$AL$62</f>
        <v>71.399999999999977</v>
      </c>
      <c r="X20" s="14">
        <f>[24]объемы!$AM$62</f>
        <v>173.20000000000005</v>
      </c>
      <c r="Y20" s="14">
        <f>[25]объемы!$AN$62</f>
        <v>125.99999999999989</v>
      </c>
      <c r="Z20" s="14">
        <f>[26]объемы!$AO$62</f>
        <v>133.10000000000014</v>
      </c>
      <c r="AA20" s="14"/>
      <c r="AB20" s="14"/>
      <c r="AC20" s="14">
        <f t="shared" si="5"/>
        <v>289.24</v>
      </c>
      <c r="AD20" s="25">
        <f t="shared" si="6"/>
        <v>0.31085031381652478</v>
      </c>
      <c r="AE20" s="27"/>
      <c r="AF20" s="31"/>
    </row>
    <row r="21" spans="1:32" x14ac:dyDescent="0.2">
      <c r="A21" s="4" t="s">
        <v>20</v>
      </c>
      <c r="B21" s="12">
        <f>SUM(B22:B27)-B24</f>
        <v>11885.429999999997</v>
      </c>
      <c r="C21" s="12">
        <f>SUM(C22:C27)-C24</f>
        <v>9819.93</v>
      </c>
      <c r="D21" s="12">
        <f t="shared" ref="D21:E21" si="17">SUM(D22:D27)-D24</f>
        <v>989.80000000000018</v>
      </c>
      <c r="E21" s="12">
        <f t="shared" si="17"/>
        <v>943.03000000000009</v>
      </c>
      <c r="F21" s="12">
        <f t="shared" ref="F21:L21" si="18">SUM(F22:F27)-F24</f>
        <v>1034.6000000000001</v>
      </c>
      <c r="G21" s="12">
        <f t="shared" si="18"/>
        <v>989.20100000000002</v>
      </c>
      <c r="H21" s="12">
        <f t="shared" si="18"/>
        <v>1162.5990000000002</v>
      </c>
      <c r="I21" s="12">
        <f t="shared" si="18"/>
        <v>922.49000000000012</v>
      </c>
      <c r="J21" s="12">
        <f t="shared" si="18"/>
        <v>949.33</v>
      </c>
      <c r="K21" s="12">
        <f t="shared" si="18"/>
        <v>1082.98</v>
      </c>
      <c r="L21" s="12">
        <f t="shared" si="18"/>
        <v>859.70000000000016</v>
      </c>
      <c r="M21" s="12">
        <f t="shared" ref="M21:R21" si="19">SUM(M22:M27)-M24</f>
        <v>886.20000000000016</v>
      </c>
      <c r="N21" s="12">
        <f t="shared" si="19"/>
        <v>1060.4999999999998</v>
      </c>
      <c r="O21" s="12">
        <f t="shared" si="19"/>
        <v>1004.9999999999991</v>
      </c>
      <c r="P21" s="12">
        <f>SUM(P22:P27)-P24</f>
        <v>11737.989999999998</v>
      </c>
      <c r="Q21" s="12">
        <f t="shared" si="19"/>
        <v>1092.9000000000001</v>
      </c>
      <c r="R21" s="12">
        <f t="shared" si="19"/>
        <v>1153.8900000000003</v>
      </c>
      <c r="S21" s="12">
        <f t="shared" ref="S21:AB21" si="20">SUM(S22:S27)-S24</f>
        <v>1263.6999999999998</v>
      </c>
      <c r="T21" s="12">
        <f>SUM(T22:T27)-T24</f>
        <v>1148.3999999999999</v>
      </c>
      <c r="U21" s="12">
        <f t="shared" si="20"/>
        <v>1257.2000000000005</v>
      </c>
      <c r="V21" s="12">
        <f t="shared" si="20"/>
        <v>1120.9999999999995</v>
      </c>
      <c r="W21" s="12">
        <f t="shared" si="20"/>
        <v>1319.2999999999997</v>
      </c>
      <c r="X21" s="12">
        <f t="shared" si="20"/>
        <v>1050.6000000000008</v>
      </c>
      <c r="Y21" s="12">
        <f t="shared" si="20"/>
        <v>1164.1999999999991</v>
      </c>
      <c r="Z21" s="12">
        <f>SUM(Z22:Z27)-Z24</f>
        <v>1166.8000000000006</v>
      </c>
      <c r="AA21" s="12">
        <f t="shared" si="20"/>
        <v>0</v>
      </c>
      <c r="AB21" s="12">
        <f t="shared" si="20"/>
        <v>0</v>
      </c>
      <c r="AC21" s="12">
        <f t="shared" si="5"/>
        <v>1918.0599999999977</v>
      </c>
      <c r="AD21" s="24">
        <f t="shared" si="6"/>
        <v>0.19532318458481859</v>
      </c>
      <c r="AE21" s="27"/>
      <c r="AF21" s="31"/>
    </row>
    <row r="22" spans="1:32" x14ac:dyDescent="0.2">
      <c r="A22" s="5" t="s">
        <v>21</v>
      </c>
      <c r="B22" s="28">
        <f t="shared" si="11"/>
        <v>9546.5999999999985</v>
      </c>
      <c r="C22" s="13">
        <f t="shared" ref="C22:C27" si="21">SUM(D22:M22)</f>
        <v>7930.4000000000005</v>
      </c>
      <c r="D22" s="14">
        <v>842.1</v>
      </c>
      <c r="E22" s="14">
        <v>819.2</v>
      </c>
      <c r="F22" s="14">
        <v>866.40000000000009</v>
      </c>
      <c r="G22" s="14">
        <v>774.83999999999992</v>
      </c>
      <c r="H22" s="14">
        <v>921.76</v>
      </c>
      <c r="I22" s="14">
        <v>706.27000000000021</v>
      </c>
      <c r="J22" s="14">
        <v>746.81999999999994</v>
      </c>
      <c r="K22" s="14">
        <v>902.91000000000008</v>
      </c>
      <c r="L22" s="14">
        <v>644.80000000000018</v>
      </c>
      <c r="M22" s="14">
        <v>705.30000000000018</v>
      </c>
      <c r="N22" s="14">
        <v>815.59999999999968</v>
      </c>
      <c r="O22" s="14">
        <v>800.59999999999923</v>
      </c>
      <c r="P22" s="28">
        <f t="shared" ref="P22:P27" si="22">SUM(Q22:AB22)</f>
        <v>9938.73</v>
      </c>
      <c r="Q22" s="14">
        <v>893</v>
      </c>
      <c r="R22" s="28">
        <f>[18]объемы!$AG$25+[18]объемы!$AG$45</f>
        <v>1003.5300000000002</v>
      </c>
      <c r="S22" s="14">
        <f>[19]объемы!$AH$25+[19]объемы!$AH$45</f>
        <v>1044.9999999999998</v>
      </c>
      <c r="T22" s="14">
        <f>[20]объемы!$AI$25+[20]объемы!$AI$45</f>
        <v>974.3</v>
      </c>
      <c r="U22" s="14">
        <f>[21]объемы!$AJ$25+[21]объемы!$AJ$45</f>
        <v>1046.6000000000004</v>
      </c>
      <c r="V22" s="14">
        <f>[22]объемы!$AK$25+[22]объемы!$AK$45</f>
        <v>924.69999999999982</v>
      </c>
      <c r="W22" s="14">
        <f>[23]объемы!$AL$25+[23]объемы!$AL$45</f>
        <v>1147.5999999999999</v>
      </c>
      <c r="X22" s="14">
        <f>[24]объемы!$AM$25+[24]объемы!$AM$45</f>
        <v>888.90000000000077</v>
      </c>
      <c r="Y22" s="14">
        <f>[25]объемы!$AN$25+[25]объемы!$AN$45</f>
        <v>1022.899999999999</v>
      </c>
      <c r="Z22" s="14">
        <f>[26]объемы!$AO$25+[26]объемы!$AO$45</f>
        <v>992.2000000000005</v>
      </c>
      <c r="AA22" s="14"/>
      <c r="AB22" s="14"/>
      <c r="AC22" s="14">
        <f t="shared" si="5"/>
        <v>2008.329999999999</v>
      </c>
      <c r="AD22" s="25">
        <f t="shared" si="6"/>
        <v>0.25324447694946017</v>
      </c>
      <c r="AE22" s="27"/>
      <c r="AF22" s="31"/>
    </row>
    <row r="23" spans="1:32" x14ac:dyDescent="0.2">
      <c r="A23" s="5" t="s">
        <v>22</v>
      </c>
      <c r="B23" s="28">
        <f t="shared" si="11"/>
        <v>626</v>
      </c>
      <c r="C23" s="13">
        <f t="shared" si="21"/>
        <v>535.6</v>
      </c>
      <c r="D23" s="14">
        <v>43.6</v>
      </c>
      <c r="E23" s="14">
        <v>31.999999999999993</v>
      </c>
      <c r="F23" s="14">
        <v>47</v>
      </c>
      <c r="G23" s="14">
        <v>62</v>
      </c>
      <c r="H23" s="14">
        <v>60.700000000000017</v>
      </c>
      <c r="I23" s="14">
        <v>72.099999999999966</v>
      </c>
      <c r="J23" s="14">
        <v>48.400000000000034</v>
      </c>
      <c r="K23" s="14">
        <v>64.599999999999966</v>
      </c>
      <c r="L23" s="14">
        <v>56.600000000000023</v>
      </c>
      <c r="M23" s="14">
        <v>48.600000000000023</v>
      </c>
      <c r="N23" s="14">
        <v>53.5</v>
      </c>
      <c r="O23" s="14">
        <v>36.899999999999977</v>
      </c>
      <c r="P23" s="28">
        <f t="shared" si="22"/>
        <v>535.79999999999995</v>
      </c>
      <c r="Q23" s="14">
        <v>51.8</v>
      </c>
      <c r="R23" s="14">
        <f>[18]объемы!$AG$43</f>
        <v>40.699999999999996</v>
      </c>
      <c r="S23" s="14">
        <f>[19]объемы!$AH$43</f>
        <v>57.900000000000006</v>
      </c>
      <c r="T23" s="14">
        <f>[20]объемы!$AI$43</f>
        <v>44.599999999999994</v>
      </c>
      <c r="U23" s="14">
        <f>[21]объемы!$AJ$43</f>
        <v>59.300000000000011</v>
      </c>
      <c r="V23" s="14">
        <f>[22]объемы!$AK$43</f>
        <v>65.900000000000006</v>
      </c>
      <c r="W23" s="14">
        <f>[23]объемы!$AL$43</f>
        <v>66.599999999999966</v>
      </c>
      <c r="X23" s="14">
        <f>[24]объемы!$AM$43</f>
        <v>47.300000000000011</v>
      </c>
      <c r="Y23" s="14">
        <f>[25]объемы!$AN$43</f>
        <v>49.100000000000023</v>
      </c>
      <c r="Z23" s="14">
        <f>[26]объемы!$AO$43</f>
        <v>52.599999999999966</v>
      </c>
      <c r="AA23" s="14"/>
      <c r="AB23" s="14"/>
      <c r="AC23" s="14">
        <f t="shared" si="5"/>
        <v>0.19999999999993179</v>
      </c>
      <c r="AD23" s="25">
        <f t="shared" si="6"/>
        <v>3.7341299477209071E-4</v>
      </c>
      <c r="AE23" s="27"/>
      <c r="AF23" s="31"/>
    </row>
    <row r="24" spans="1:32" x14ac:dyDescent="0.2">
      <c r="A24" s="8" t="s">
        <v>23</v>
      </c>
      <c r="B24" s="28">
        <f t="shared" si="11"/>
        <v>1138.0999999999999</v>
      </c>
      <c r="C24" s="13">
        <f t="shared" si="21"/>
        <v>973.7</v>
      </c>
      <c r="D24" s="13">
        <v>79.3</v>
      </c>
      <c r="E24" s="13">
        <v>58.100000000000009</v>
      </c>
      <c r="F24" s="13">
        <v>85.5</v>
      </c>
      <c r="G24" s="13">
        <v>112.70000000000002</v>
      </c>
      <c r="H24" s="13">
        <v>110.39999999999998</v>
      </c>
      <c r="I24" s="13">
        <v>131.10000000000002</v>
      </c>
      <c r="J24" s="13">
        <v>87.899999999999977</v>
      </c>
      <c r="K24" s="13">
        <v>117.60000000000002</v>
      </c>
      <c r="L24" s="13">
        <v>102.79999999999995</v>
      </c>
      <c r="M24" s="13">
        <v>88.300000000000068</v>
      </c>
      <c r="N24" s="13">
        <v>97.299999999999955</v>
      </c>
      <c r="O24" s="13">
        <v>67.099999999999909</v>
      </c>
      <c r="P24" s="13">
        <f t="shared" si="22"/>
        <v>971.9</v>
      </c>
      <c r="Q24" s="13">
        <v>94.4</v>
      </c>
      <c r="R24" s="13">
        <f>[18]объемы!$AG$82</f>
        <v>74</v>
      </c>
      <c r="S24" s="13">
        <f>[19]объемы!$AH$82</f>
        <v>105.20000000000002</v>
      </c>
      <c r="T24" s="13">
        <f>[20]объемы!$AI$82</f>
        <v>81.199999999999989</v>
      </c>
      <c r="U24" s="13">
        <f>[21]объемы!$AJ$82</f>
        <v>107.80000000000001</v>
      </c>
      <c r="V24" s="13">
        <f>[22]объемы!$AK$82</f>
        <v>119.69999999999993</v>
      </c>
      <c r="W24" s="13">
        <f>[23]объемы!$AL$82</f>
        <v>121.20000000000005</v>
      </c>
      <c r="X24" s="13">
        <f>[24]объемы!$AM$82</f>
        <v>86</v>
      </c>
      <c r="Y24" s="13">
        <f>[25]объемы!$AN$82</f>
        <v>86.799999999999955</v>
      </c>
      <c r="Z24" s="13">
        <f>[26]объемы!$AO$82</f>
        <v>95.600000000000023</v>
      </c>
      <c r="AA24" s="13"/>
      <c r="AB24" s="13"/>
      <c r="AC24" s="14">
        <f t="shared" si="5"/>
        <v>-1.8000000000000682</v>
      </c>
      <c r="AD24" s="25">
        <f t="shared" si="6"/>
        <v>-1.8486186710486476E-3</v>
      </c>
      <c r="AE24" s="27"/>
      <c r="AF24" s="31"/>
    </row>
    <row r="25" spans="1:32" x14ac:dyDescent="0.2">
      <c r="A25" s="5" t="s">
        <v>24</v>
      </c>
      <c r="B25" s="28">
        <f t="shared" si="11"/>
        <v>1027.72</v>
      </c>
      <c r="C25" s="13">
        <f t="shared" si="21"/>
        <v>847.31999999999994</v>
      </c>
      <c r="D25" s="14">
        <v>68</v>
      </c>
      <c r="E25" s="14">
        <v>61.819999999999993</v>
      </c>
      <c r="F25" s="14">
        <v>80.5</v>
      </c>
      <c r="G25" s="14">
        <v>102.69</v>
      </c>
      <c r="H25" s="14">
        <v>115.51000000000002</v>
      </c>
      <c r="I25" s="14">
        <v>84.19999999999996</v>
      </c>
      <c r="J25" s="14">
        <v>88.980000000000032</v>
      </c>
      <c r="K25" s="14">
        <v>75.720000000000041</v>
      </c>
      <c r="L25" s="14">
        <v>97.499999999999957</v>
      </c>
      <c r="M25" s="14">
        <v>72.399999999999977</v>
      </c>
      <c r="N25" s="14">
        <v>98.300000000000068</v>
      </c>
      <c r="O25" s="14">
        <v>82.099999999999937</v>
      </c>
      <c r="P25" s="28">
        <f t="shared" si="22"/>
        <v>981.1400000000001</v>
      </c>
      <c r="Q25" s="14">
        <v>90</v>
      </c>
      <c r="R25" s="14">
        <f>[18]объемы!$AG$39</f>
        <v>68.440000000000012</v>
      </c>
      <c r="S25" s="14">
        <f>[19]объемы!$AH$39</f>
        <v>142.29999999999998</v>
      </c>
      <c r="T25" s="14">
        <f>[20]объемы!$AI$39</f>
        <v>97.199999999999989</v>
      </c>
      <c r="U25" s="14">
        <f>[21]объемы!$AJ$39</f>
        <v>98.600000000000051</v>
      </c>
      <c r="V25" s="14">
        <f>[22]объемы!$AK$39</f>
        <v>108.1</v>
      </c>
      <c r="W25" s="14">
        <f>[23]объемы!$AL$39</f>
        <v>94.59999999999998</v>
      </c>
      <c r="X25" s="14">
        <f>[24]объемы!$AM$39</f>
        <v>94.9</v>
      </c>
      <c r="Y25" s="14">
        <f>[25]объемы!$AN$39</f>
        <v>85.999999999999972</v>
      </c>
      <c r="Z25" s="14">
        <f>[26]объемы!$AO$39</f>
        <v>101.00000000000003</v>
      </c>
      <c r="AA25" s="14"/>
      <c r="AB25" s="14"/>
      <c r="AC25" s="14">
        <f t="shared" si="5"/>
        <v>133.82000000000016</v>
      </c>
      <c r="AD25" s="25">
        <f t="shared" si="6"/>
        <v>0.15793324835953379</v>
      </c>
      <c r="AE25" s="27"/>
      <c r="AF25" s="31"/>
    </row>
    <row r="26" spans="1:32" x14ac:dyDescent="0.2">
      <c r="A26" s="5" t="s">
        <v>25</v>
      </c>
      <c r="B26" s="28">
        <f t="shared" si="11"/>
        <v>291.39000000000004</v>
      </c>
      <c r="C26" s="13">
        <f t="shared" si="21"/>
        <v>238.09</v>
      </c>
      <c r="D26" s="14">
        <v>24.2</v>
      </c>
      <c r="E26" s="14">
        <v>18.290000000000003</v>
      </c>
      <c r="F26" s="14">
        <v>31.7</v>
      </c>
      <c r="G26" s="14">
        <v>33.299999999999997</v>
      </c>
      <c r="H26" s="14">
        <v>45.2</v>
      </c>
      <c r="I26" s="14">
        <v>31.019999999999985</v>
      </c>
      <c r="J26" s="14">
        <v>16.340000000000011</v>
      </c>
      <c r="K26" s="14">
        <v>11.339999999999996</v>
      </c>
      <c r="L26" s="14">
        <v>11.800000000000004</v>
      </c>
      <c r="M26" s="14">
        <v>14.900000000000006</v>
      </c>
      <c r="N26" s="14">
        <v>20</v>
      </c>
      <c r="O26" s="14">
        <v>33.299999999999997</v>
      </c>
      <c r="P26" s="28">
        <f t="shared" si="22"/>
        <v>132.4</v>
      </c>
      <c r="Q26" s="14">
        <v>24.2</v>
      </c>
      <c r="R26" s="14">
        <f>[18]объемы!$AG$49</f>
        <v>15</v>
      </c>
      <c r="S26" s="14">
        <f>[19]объемы!$AH$49</f>
        <v>7.8000000000000025</v>
      </c>
      <c r="T26" s="14">
        <f>[20]объемы!$AI$49</f>
        <v>21.1</v>
      </c>
      <c r="U26" s="14">
        <f>[21]объемы!$AJ$49</f>
        <v>36.199999999999996</v>
      </c>
      <c r="V26" s="14">
        <f>[22]объемы!$AK$49</f>
        <v>14.700000000000005</v>
      </c>
      <c r="W26" s="14">
        <f>[23]объемы!$AL$49</f>
        <v>3.8999999999999915</v>
      </c>
      <c r="X26" s="14">
        <f>[24]объемы!$AM$49</f>
        <v>2.2000000000000028</v>
      </c>
      <c r="Y26" s="14">
        <f>[25]объемы!$AN$49</f>
        <v>0</v>
      </c>
      <c r="Z26" s="14">
        <f>[26]объемы!$AO$49</f>
        <v>7.3000000000000007</v>
      </c>
      <c r="AA26" s="14"/>
      <c r="AB26" s="14"/>
      <c r="AC26" s="14">
        <f t="shared" si="5"/>
        <v>-105.69</v>
      </c>
      <c r="AD26" s="25">
        <f t="shared" si="6"/>
        <v>-0.44390776597085135</v>
      </c>
      <c r="AE26" s="27"/>
      <c r="AF26" s="31"/>
    </row>
    <row r="27" spans="1:32" x14ac:dyDescent="0.2">
      <c r="A27" s="5" t="s">
        <v>26</v>
      </c>
      <c r="B27" s="28">
        <f t="shared" si="11"/>
        <v>393.72</v>
      </c>
      <c r="C27" s="13">
        <f t="shared" si="21"/>
        <v>268.52</v>
      </c>
      <c r="D27" s="14">
        <v>11.9</v>
      </c>
      <c r="E27" s="14">
        <v>11.719999999999999</v>
      </c>
      <c r="F27" s="14">
        <v>9</v>
      </c>
      <c r="G27" s="14">
        <v>16.371000000000034</v>
      </c>
      <c r="H27" s="14">
        <v>19.428999999999967</v>
      </c>
      <c r="I27" s="14">
        <v>28.9</v>
      </c>
      <c r="J27" s="14">
        <v>48.79</v>
      </c>
      <c r="K27" s="14">
        <v>28.409999999999997</v>
      </c>
      <c r="L27" s="14">
        <v>49</v>
      </c>
      <c r="M27" s="14">
        <v>45.000000000000007</v>
      </c>
      <c r="N27" s="14">
        <v>73.099999999999994</v>
      </c>
      <c r="O27" s="14">
        <v>52.099999999999994</v>
      </c>
      <c r="P27" s="28">
        <f t="shared" si="22"/>
        <v>149.91999999999999</v>
      </c>
      <c r="Q27" s="14">
        <v>33.9</v>
      </c>
      <c r="R27" s="14">
        <v>26.22</v>
      </c>
      <c r="S27" s="14">
        <v>10.7</v>
      </c>
      <c r="T27" s="14">
        <v>11.2</v>
      </c>
      <c r="U27" s="14">
        <v>16.5</v>
      </c>
      <c r="V27" s="14">
        <v>7.6</v>
      </c>
      <c r="W27" s="14">
        <f>[23]объемы!$AL$74+[23]объемы!$AL$69+[23]объемы!$AL$67+[23]объемы!$AL$64</f>
        <v>6.6000000000000032</v>
      </c>
      <c r="X27" s="14">
        <f>[24]объемы!$AM$64+[24]объемы!$AM$67+[24]объемы!$AM$69+[24]объемы!$AM$57</f>
        <v>17.3</v>
      </c>
      <c r="Y27" s="14">
        <f>[25]объемы!$AN$69+[25]объемы!$AN$67+[25]объемы!$AN$64+[25]объемы!$AN$57</f>
        <v>6.1999999999999993</v>
      </c>
      <c r="Z27" s="14">
        <f>[26]объемы!$AO$74+[26]объемы!$AO$69+[26]объемы!$AO$67+[26]объемы!$AO$64+[26]объемы!$AO$57</f>
        <v>13.7</v>
      </c>
      <c r="AA27" s="14"/>
      <c r="AB27" s="14"/>
      <c r="AC27" s="14">
        <f t="shared" si="5"/>
        <v>-118.6</v>
      </c>
      <c r="AD27" s="25">
        <f t="shared" si="6"/>
        <v>-0.441680321763742</v>
      </c>
      <c r="AE27" s="27"/>
      <c r="AF27" s="31"/>
    </row>
    <row r="28" spans="1:32" x14ac:dyDescent="0.2">
      <c r="A28" s="4" t="s">
        <v>27</v>
      </c>
      <c r="B28" s="12">
        <f>B29</f>
        <v>5454.7</v>
      </c>
      <c r="C28" s="12">
        <f>C29</f>
        <v>4566.3999999999996</v>
      </c>
      <c r="D28" s="12">
        <f t="shared" ref="D28:O28" si="23">D29</f>
        <v>360.1</v>
      </c>
      <c r="E28" s="12">
        <f t="shared" si="23"/>
        <v>476</v>
      </c>
      <c r="F28" s="12">
        <f t="shared" si="23"/>
        <v>470.59999999999991</v>
      </c>
      <c r="G28" s="12">
        <f t="shared" si="23"/>
        <v>532.1</v>
      </c>
      <c r="H28" s="12">
        <f t="shared" si="23"/>
        <v>546</v>
      </c>
      <c r="I28" s="12">
        <f t="shared" si="23"/>
        <v>483.70999999999981</v>
      </c>
      <c r="J28" s="12">
        <f t="shared" si="23"/>
        <v>447.5200000000001</v>
      </c>
      <c r="K28" s="12">
        <f t="shared" si="23"/>
        <v>436.47</v>
      </c>
      <c r="L28" s="12">
        <f t="shared" si="23"/>
        <v>380.70000000000005</v>
      </c>
      <c r="M28" s="12">
        <f>M29</f>
        <v>433.20000000000005</v>
      </c>
      <c r="N28" s="12">
        <f t="shared" si="23"/>
        <v>410.50000000000011</v>
      </c>
      <c r="O28" s="12">
        <f t="shared" si="23"/>
        <v>477.79999999999961</v>
      </c>
      <c r="P28" s="12">
        <f>P29</f>
        <v>4282.7</v>
      </c>
      <c r="Q28" s="12">
        <f t="shared" ref="Q28:AB28" si="24">Q29</f>
        <v>367.3</v>
      </c>
      <c r="R28" s="12">
        <f t="shared" si="24"/>
        <v>327.8</v>
      </c>
      <c r="S28" s="12">
        <f t="shared" si="24"/>
        <v>483.4</v>
      </c>
      <c r="T28" s="12">
        <f t="shared" si="24"/>
        <v>426.8</v>
      </c>
      <c r="U28" s="12">
        <f t="shared" si="24"/>
        <v>488.10000000000008</v>
      </c>
      <c r="V28" s="12">
        <f t="shared" si="24"/>
        <v>456.30000000000007</v>
      </c>
      <c r="W28" s="12">
        <f t="shared" si="24"/>
        <v>469.99999999999983</v>
      </c>
      <c r="X28" s="12">
        <f t="shared" si="24"/>
        <v>423.40000000000009</v>
      </c>
      <c r="Y28" s="12">
        <f t="shared" si="24"/>
        <v>455.50000000000017</v>
      </c>
      <c r="Z28" s="12">
        <f>Z29</f>
        <v>384.09999999999985</v>
      </c>
      <c r="AA28" s="12">
        <f t="shared" si="24"/>
        <v>0</v>
      </c>
      <c r="AB28" s="12">
        <f t="shared" si="24"/>
        <v>0</v>
      </c>
      <c r="AC28" s="12">
        <f t="shared" si="5"/>
        <v>-283.69999999999982</v>
      </c>
      <c r="AD28" s="24">
        <f t="shared" si="6"/>
        <v>-6.2127715487035703E-2</v>
      </c>
      <c r="AE28" s="27"/>
      <c r="AF28" s="31"/>
    </row>
    <row r="29" spans="1:32" x14ac:dyDescent="0.2">
      <c r="A29" s="5" t="s">
        <v>27</v>
      </c>
      <c r="B29" s="14">
        <f>SUM(B30:B31)</f>
        <v>5454.7</v>
      </c>
      <c r="C29" s="14">
        <f>SUM(C30:C31)</f>
        <v>4566.3999999999996</v>
      </c>
      <c r="D29" s="14">
        <f>SUM(D30:D31)</f>
        <v>360.1</v>
      </c>
      <c r="E29" s="14">
        <f>SUM(E30:E31)</f>
        <v>476</v>
      </c>
      <c r="F29" s="14">
        <f t="shared" ref="F29:N29" si="25">SUM(F30:F31)</f>
        <v>470.59999999999991</v>
      </c>
      <c r="G29" s="14">
        <f t="shared" si="25"/>
        <v>532.1</v>
      </c>
      <c r="H29" s="14">
        <f t="shared" si="25"/>
        <v>546</v>
      </c>
      <c r="I29" s="14">
        <f t="shared" si="25"/>
        <v>483.70999999999981</v>
      </c>
      <c r="J29" s="14">
        <f t="shared" si="25"/>
        <v>447.5200000000001</v>
      </c>
      <c r="K29" s="14">
        <f t="shared" si="25"/>
        <v>436.47</v>
      </c>
      <c r="L29" s="14">
        <f t="shared" si="25"/>
        <v>380.70000000000005</v>
      </c>
      <c r="M29" s="14">
        <f t="shared" si="25"/>
        <v>433.20000000000005</v>
      </c>
      <c r="N29" s="14">
        <f t="shared" si="25"/>
        <v>410.50000000000011</v>
      </c>
      <c r="O29" s="14">
        <f>SUM(O30:O31)</f>
        <v>477.79999999999961</v>
      </c>
      <c r="P29" s="14">
        <f>SUM(P30:P31)</f>
        <v>4282.7</v>
      </c>
      <c r="Q29" s="14">
        <f>SUM(Q30:Q31)</f>
        <v>367.3</v>
      </c>
      <c r="R29" s="14">
        <f>SUM(R30:R31)</f>
        <v>327.8</v>
      </c>
      <c r="S29" s="14">
        <f t="shared" ref="S29:AA29" si="26">SUM(S30:S31)</f>
        <v>483.4</v>
      </c>
      <c r="T29" s="14">
        <f>SUM(T30:T31)</f>
        <v>426.8</v>
      </c>
      <c r="U29" s="14">
        <f t="shared" si="26"/>
        <v>488.10000000000008</v>
      </c>
      <c r="V29" s="14">
        <f t="shared" si="26"/>
        <v>456.30000000000007</v>
      </c>
      <c r="W29" s="14">
        <f t="shared" si="26"/>
        <v>469.99999999999983</v>
      </c>
      <c r="X29" s="14">
        <f t="shared" si="26"/>
        <v>423.40000000000009</v>
      </c>
      <c r="Y29" s="14">
        <f t="shared" si="26"/>
        <v>455.50000000000017</v>
      </c>
      <c r="Z29" s="14">
        <f t="shared" si="26"/>
        <v>384.09999999999985</v>
      </c>
      <c r="AA29" s="14">
        <f t="shared" si="26"/>
        <v>0</v>
      </c>
      <c r="AB29" s="14">
        <f>SUM(AB30:AB31)</f>
        <v>0</v>
      </c>
      <c r="AC29" s="14">
        <f t="shared" si="5"/>
        <v>-283.69999999999982</v>
      </c>
      <c r="AD29" s="25">
        <f t="shared" si="6"/>
        <v>-6.2127715487035703E-2</v>
      </c>
      <c r="AE29" s="27"/>
      <c r="AF29" s="31"/>
    </row>
    <row r="30" spans="1:32" x14ac:dyDescent="0.2">
      <c r="A30" s="6" t="s">
        <v>28</v>
      </c>
      <c r="B30" s="13">
        <f t="shared" ref="B30:B34" si="27">SUM(D30:O30)</f>
        <v>4521.7</v>
      </c>
      <c r="C30" s="13">
        <f t="shared" ref="C30:C31" si="28">SUM(D30:M30)</f>
        <v>3764.4</v>
      </c>
      <c r="D30" s="13">
        <v>288.5</v>
      </c>
      <c r="E30" s="13">
        <v>405.6</v>
      </c>
      <c r="F30" s="13">
        <v>392.89999999999992</v>
      </c>
      <c r="G30" s="13">
        <v>436.5</v>
      </c>
      <c r="H30" s="13">
        <v>459.20000000000005</v>
      </c>
      <c r="I30" s="13">
        <v>408.70999999999981</v>
      </c>
      <c r="J30" s="13">
        <v>349.42000000000007</v>
      </c>
      <c r="K30" s="13">
        <v>359.17000000000007</v>
      </c>
      <c r="L30" s="13">
        <v>314.90000000000009</v>
      </c>
      <c r="M30" s="13">
        <v>349.5</v>
      </c>
      <c r="N30" s="13">
        <v>350.40000000000009</v>
      </c>
      <c r="O30" s="13">
        <v>406.89999999999964</v>
      </c>
      <c r="P30" s="13">
        <f t="shared" ref="P30:P31" si="29">SUM(Q30:AB30)</f>
        <v>3727.9</v>
      </c>
      <c r="Q30" s="13">
        <v>316.5</v>
      </c>
      <c r="R30" s="13">
        <f>[18]объемы!$AG$30+[18]объемы!$AG$31</f>
        <v>286</v>
      </c>
      <c r="S30" s="13">
        <f>[19]объемы!$AH$30+[19]объемы!$AH$31</f>
        <v>440.09999999999997</v>
      </c>
      <c r="T30" s="13">
        <f>[20]объемы!$AI$30+[20]объемы!$AI$31</f>
        <v>382.3</v>
      </c>
      <c r="U30" s="13">
        <f>[21]объемы!$AJ$30+[21]объемы!$AJ$31</f>
        <v>439.40000000000009</v>
      </c>
      <c r="V30" s="13">
        <f>[22]объемы!$AK$30+[22]объемы!$AK$31</f>
        <v>405.1</v>
      </c>
      <c r="W30" s="13">
        <f>[23]объемы!$AL$30+[23]объемы!$AL$31</f>
        <v>399.19999999999982</v>
      </c>
      <c r="X30" s="13">
        <f>[24]объемы!$AM$30+[24]объемы!$AM$31</f>
        <v>351.40000000000009</v>
      </c>
      <c r="Y30" s="13">
        <f>[25]объемы!$AN$30+[25]объемы!$AN$31</f>
        <v>381.80000000000018</v>
      </c>
      <c r="Z30" s="13">
        <f>[26]объемы!$AO$30+[26]объемы!$AO$31</f>
        <v>326.09999999999991</v>
      </c>
      <c r="AA30" s="13"/>
      <c r="AB30" s="13"/>
      <c r="AC30" s="14">
        <f t="shared" si="5"/>
        <v>-36.5</v>
      </c>
      <c r="AD30" s="25">
        <f t="shared" si="6"/>
        <v>-9.6961003081500376E-3</v>
      </c>
      <c r="AE30" s="27"/>
      <c r="AF30" s="31"/>
    </row>
    <row r="31" spans="1:32" x14ac:dyDescent="0.2">
      <c r="A31" s="6" t="s">
        <v>29</v>
      </c>
      <c r="B31" s="13">
        <f t="shared" si="27"/>
        <v>933</v>
      </c>
      <c r="C31" s="13">
        <f t="shared" si="28"/>
        <v>802</v>
      </c>
      <c r="D31" s="13">
        <v>71.599999999999994</v>
      </c>
      <c r="E31" s="13">
        <v>70.400000000000006</v>
      </c>
      <c r="F31" s="13">
        <v>77.699999999999989</v>
      </c>
      <c r="G31" s="13">
        <v>95.600000000000023</v>
      </c>
      <c r="H31" s="13">
        <v>86.800000000000011</v>
      </c>
      <c r="I31" s="13">
        <v>75</v>
      </c>
      <c r="J31" s="13">
        <v>98.100000000000023</v>
      </c>
      <c r="K31" s="13">
        <v>77.299999999999955</v>
      </c>
      <c r="L31" s="13">
        <v>65.799999999999955</v>
      </c>
      <c r="M31" s="13">
        <v>83.700000000000045</v>
      </c>
      <c r="N31" s="13">
        <v>60.100000000000023</v>
      </c>
      <c r="O31" s="13">
        <v>70.899999999999977</v>
      </c>
      <c r="P31" s="13">
        <f t="shared" si="29"/>
        <v>554.79999999999995</v>
      </c>
      <c r="Q31" s="13">
        <v>50.8</v>
      </c>
      <c r="R31" s="13">
        <f>[18]объемы!$AG$32</f>
        <v>41.8</v>
      </c>
      <c r="S31" s="13">
        <f>[19]объемы!$AH$32</f>
        <v>43.300000000000011</v>
      </c>
      <c r="T31" s="13">
        <f>[20]объемы!$AI$32</f>
        <v>44.5</v>
      </c>
      <c r="U31" s="13">
        <f>[21]объемы!$AJ$32</f>
        <v>48.699999999999989</v>
      </c>
      <c r="V31" s="13">
        <f>[22]объемы!$AK$32</f>
        <v>51.200000000000017</v>
      </c>
      <c r="W31" s="13">
        <f>[23]объемы!$AL$32</f>
        <v>70.800000000000011</v>
      </c>
      <c r="X31" s="13">
        <f>[24]объемы!$AM$32</f>
        <v>72</v>
      </c>
      <c r="Y31" s="13">
        <f>[25]объемы!$AN$32</f>
        <v>73.699999999999989</v>
      </c>
      <c r="Z31" s="13">
        <f>[26]объемы!$AO$32</f>
        <v>57.999999999999943</v>
      </c>
      <c r="AA31" s="13"/>
      <c r="AB31" s="13"/>
      <c r="AC31" s="14">
        <f t="shared" si="5"/>
        <v>-247.20000000000005</v>
      </c>
      <c r="AD31" s="25">
        <f t="shared" si="6"/>
        <v>-0.30822942643391527</v>
      </c>
      <c r="AE31" s="27"/>
      <c r="AF31" s="31"/>
    </row>
    <row r="32" spans="1:32" x14ac:dyDescent="0.2">
      <c r="A32" s="10" t="s">
        <v>30</v>
      </c>
      <c r="B32" s="14">
        <f>SUM(B33:B34)</f>
        <v>639.67000000000007</v>
      </c>
      <c r="C32" s="14">
        <f>SUM(C33:C34)</f>
        <v>544</v>
      </c>
      <c r="D32" s="14">
        <f>SUM(D33:D34)</f>
        <v>48.7</v>
      </c>
      <c r="E32" s="14">
        <f>SUM(E33:E34)</f>
        <v>58.900000000000006</v>
      </c>
      <c r="F32" s="14">
        <f t="shared" ref="F32:O32" si="30">SUM(F33:F34)</f>
        <v>59.5</v>
      </c>
      <c r="G32" s="14">
        <f t="shared" si="30"/>
        <v>65.769999999999982</v>
      </c>
      <c r="H32" s="14">
        <f t="shared" si="30"/>
        <v>59.730000000000004</v>
      </c>
      <c r="I32" s="14">
        <f t="shared" si="30"/>
        <v>60.660000000000011</v>
      </c>
      <c r="J32" s="14">
        <f t="shared" si="30"/>
        <v>54.759999999999991</v>
      </c>
      <c r="K32" s="14">
        <f t="shared" si="30"/>
        <v>47.379999999999981</v>
      </c>
      <c r="L32" s="14">
        <f t="shared" si="30"/>
        <v>42.100000000000037</v>
      </c>
      <c r="M32" s="14">
        <f t="shared" si="30"/>
        <v>46.500000000000014</v>
      </c>
      <c r="N32" s="14">
        <f t="shared" si="30"/>
        <v>44.599999999999966</v>
      </c>
      <c r="O32" s="14">
        <f t="shared" si="30"/>
        <v>51.07000000000005</v>
      </c>
      <c r="P32" s="14">
        <f>SUM(P33:P34)</f>
        <v>391.03300000000002</v>
      </c>
      <c r="Q32" s="14">
        <f>SUM(Q33:Q34)</f>
        <v>37.200000000000003</v>
      </c>
      <c r="R32" s="14">
        <f>SUM(R33:R34)</f>
        <v>34.632999999999996</v>
      </c>
      <c r="S32" s="14">
        <f t="shared" ref="S32:AB32" si="31">SUM(S33:S34)</f>
        <v>46.300000000000004</v>
      </c>
      <c r="T32" s="14">
        <f>SUM(T33:T34)</f>
        <v>39</v>
      </c>
      <c r="U32" s="14">
        <f t="shared" si="31"/>
        <v>42.7</v>
      </c>
      <c r="V32" s="14">
        <f t="shared" si="31"/>
        <v>40.599999999999994</v>
      </c>
      <c r="W32" s="14">
        <f t="shared" si="31"/>
        <v>41.4</v>
      </c>
      <c r="X32" s="14">
        <f t="shared" si="31"/>
        <v>37.20000000000001</v>
      </c>
      <c r="Y32" s="14">
        <f t="shared" si="31"/>
        <v>39.099999999999987</v>
      </c>
      <c r="Z32" s="14">
        <f t="shared" si="31"/>
        <v>32.899999999999991</v>
      </c>
      <c r="AA32" s="14">
        <f t="shared" si="31"/>
        <v>0</v>
      </c>
      <c r="AB32" s="14">
        <f t="shared" si="31"/>
        <v>0</v>
      </c>
      <c r="AC32" s="14">
        <f t="shared" si="5"/>
        <v>-152.96699999999998</v>
      </c>
      <c r="AD32" s="25">
        <f t="shared" si="6"/>
        <v>-0.28118933823529407</v>
      </c>
      <c r="AE32" s="27"/>
      <c r="AF32" s="31"/>
    </row>
    <row r="33" spans="1:32" x14ac:dyDescent="0.2">
      <c r="A33" s="6" t="s">
        <v>31</v>
      </c>
      <c r="B33" s="13">
        <f t="shared" si="27"/>
        <v>460.37000000000006</v>
      </c>
      <c r="C33" s="13">
        <f t="shared" ref="C33:C34" si="32">SUM(D33:M33)</f>
        <v>383.20000000000005</v>
      </c>
      <c r="D33" s="13">
        <v>33.4</v>
      </c>
      <c r="E33" s="13">
        <v>42.2</v>
      </c>
      <c r="F33" s="13">
        <v>44</v>
      </c>
      <c r="G33" s="13">
        <v>45.669999999999995</v>
      </c>
      <c r="H33" s="13">
        <v>42.429999999999993</v>
      </c>
      <c r="I33" s="13">
        <v>45.060000000000016</v>
      </c>
      <c r="J33" s="13">
        <v>35.559999999999988</v>
      </c>
      <c r="K33" s="13">
        <v>31.379999999999995</v>
      </c>
      <c r="L33" s="13">
        <v>29.90000000000002</v>
      </c>
      <c r="M33" s="13">
        <v>33.600000000000009</v>
      </c>
      <c r="N33" s="13">
        <v>35.399999999999977</v>
      </c>
      <c r="O33" s="13">
        <v>41.770000000000039</v>
      </c>
      <c r="P33" s="13">
        <f>SUM(Q33:AB33)</f>
        <v>313.93300000000005</v>
      </c>
      <c r="Q33" s="14">
        <v>29.8</v>
      </c>
      <c r="R33" s="13">
        <f>[18]объемы!$AG$79+[18]объемы!$AG$80</f>
        <v>28.032999999999994</v>
      </c>
      <c r="S33" s="13">
        <f>[19]объемы!$AH$79+[19]объемы!$AH$80</f>
        <v>40.400000000000006</v>
      </c>
      <c r="T33" s="14">
        <f>[20]объемы!$AI$79+[20]объемы!$AI$80</f>
        <v>31.9</v>
      </c>
      <c r="U33" s="13">
        <f>[21]объемы!$AJ$79+[21]объемы!$AJ$80</f>
        <v>36.300000000000004</v>
      </c>
      <c r="V33" s="13">
        <f>[22]объемы!$AK$79+[22]объемы!$AK$80</f>
        <v>34.899999999999991</v>
      </c>
      <c r="W33" s="13">
        <f>[23]объемы!$AL$79+[23]объемы!$AL$80</f>
        <v>31.299999999999997</v>
      </c>
      <c r="X33" s="13">
        <f>[24]объемы!$AM$79+[24]объемы!$AM$80</f>
        <v>26.800000000000011</v>
      </c>
      <c r="Y33" s="13">
        <f>[25]объемы!$AN$79+[25]объемы!$AN$80</f>
        <v>28.999999999999986</v>
      </c>
      <c r="Z33" s="13">
        <f>[26]объемы!$AO$79+[26]объемы!$AO$80</f>
        <v>25.5</v>
      </c>
      <c r="AA33" s="13"/>
      <c r="AB33" s="13"/>
      <c r="AC33" s="14">
        <f t="shared" si="5"/>
        <v>-69.266999999999996</v>
      </c>
      <c r="AD33" s="25">
        <f t="shared" si="6"/>
        <v>-0.18075939457202503</v>
      </c>
      <c r="AE33" s="27"/>
      <c r="AF33" s="31"/>
    </row>
    <row r="34" spans="1:32" x14ac:dyDescent="0.2">
      <c r="A34" s="6" t="s">
        <v>32</v>
      </c>
      <c r="B34" s="13">
        <f t="shared" si="27"/>
        <v>179.3</v>
      </c>
      <c r="C34" s="13">
        <f t="shared" si="32"/>
        <v>160.80000000000001</v>
      </c>
      <c r="D34" s="13">
        <v>15.3</v>
      </c>
      <c r="E34" s="13">
        <v>16.7</v>
      </c>
      <c r="F34" s="13">
        <v>15.5</v>
      </c>
      <c r="G34" s="13">
        <v>20.099999999999994</v>
      </c>
      <c r="H34" s="13">
        <v>17.300000000000011</v>
      </c>
      <c r="I34" s="13">
        <v>15.599999999999994</v>
      </c>
      <c r="J34" s="13">
        <v>19.200000000000003</v>
      </c>
      <c r="K34" s="13">
        <v>15.999999999999986</v>
      </c>
      <c r="L34" s="13">
        <v>12.200000000000017</v>
      </c>
      <c r="M34" s="13">
        <v>12.900000000000006</v>
      </c>
      <c r="N34" s="13">
        <v>9.1999999999999886</v>
      </c>
      <c r="O34" s="13">
        <v>9.3000000000000114</v>
      </c>
      <c r="P34" s="13">
        <f t="shared" ref="P34" si="33">SUM(Q34:AB34)</f>
        <v>77.099999999999994</v>
      </c>
      <c r="Q34" s="13">
        <v>7.4</v>
      </c>
      <c r="R34" s="13">
        <f>[18]объемы!$AG$81</f>
        <v>6.6</v>
      </c>
      <c r="S34" s="13">
        <f>[19]объемы!$AH$81</f>
        <v>5.8999999999999986</v>
      </c>
      <c r="T34" s="13">
        <f>[20]объемы!$AI$81</f>
        <v>7.1000000000000014</v>
      </c>
      <c r="U34" s="13">
        <f>[21]объемы!$AJ$81</f>
        <v>6.3999999999999986</v>
      </c>
      <c r="V34" s="13">
        <f>[22]объемы!$AK$81</f>
        <v>5.7000000000000028</v>
      </c>
      <c r="W34" s="13">
        <f>[23]объемы!$AL$81</f>
        <v>10.100000000000001</v>
      </c>
      <c r="X34" s="13">
        <f>[24]объемы!$AM$81</f>
        <v>10.399999999999999</v>
      </c>
      <c r="Y34" s="13">
        <f>[25]объемы!$AN$81</f>
        <v>10.100000000000001</v>
      </c>
      <c r="Z34" s="13">
        <f>[26]объемы!$AO$81</f>
        <v>7.3999999999999915</v>
      </c>
      <c r="AA34" s="13"/>
      <c r="AB34" s="13"/>
      <c r="AC34" s="14">
        <f t="shared" si="5"/>
        <v>-83.700000000000017</v>
      </c>
      <c r="AD34" s="25">
        <f t="shared" si="6"/>
        <v>-0.52052238805970152</v>
      </c>
      <c r="AE34" s="27"/>
      <c r="AF34" s="31"/>
    </row>
    <row r="35" spans="1:32" x14ac:dyDescent="0.2"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32" x14ac:dyDescent="0.2"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Q36" s="15"/>
      <c r="R36" s="15"/>
      <c r="S36" s="15"/>
      <c r="T36" s="15"/>
      <c r="U36" s="15"/>
      <c r="V36" s="18"/>
      <c r="W36" s="20"/>
    </row>
    <row r="37" spans="1:32" x14ac:dyDescent="0.2"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Q37" s="15"/>
      <c r="R37" s="15"/>
      <c r="S37" s="15"/>
      <c r="T37" s="15"/>
      <c r="U37" s="15"/>
      <c r="V37" s="19"/>
    </row>
    <row r="38" spans="1:32" x14ac:dyDescent="0.2">
      <c r="U38" s="19"/>
      <c r="V38" s="19"/>
    </row>
    <row r="39" spans="1:32" x14ac:dyDescent="0.2"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Q39" s="15"/>
      <c r="R39" s="15"/>
      <c r="S39" s="15"/>
      <c r="T39" s="15"/>
      <c r="U39" s="37"/>
      <c r="V39" s="19"/>
    </row>
    <row r="40" spans="1:32" x14ac:dyDescent="0.2"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U40" s="19"/>
      <c r="V40" s="19"/>
    </row>
    <row r="41" spans="1:32" x14ac:dyDescent="0.2"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U41" s="19"/>
      <c r="V41" s="19"/>
    </row>
    <row r="42" spans="1:32" x14ac:dyDescent="0.2"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U42" s="19"/>
      <c r="V42" s="19"/>
    </row>
    <row r="43" spans="1:32" x14ac:dyDescent="0.2"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U43" s="19"/>
      <c r="V43" s="19"/>
    </row>
    <row r="44" spans="1:32" x14ac:dyDescent="0.2"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U44" s="19"/>
      <c r="V44" s="19"/>
    </row>
    <row r="45" spans="1:32" x14ac:dyDescent="0.2">
      <c r="U45" s="16"/>
      <c r="V45" s="16"/>
    </row>
    <row r="46" spans="1:32" x14ac:dyDescent="0.2"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U46" s="16"/>
      <c r="V46" s="16"/>
    </row>
    <row r="47" spans="1:32" x14ac:dyDescent="0.2"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U47" s="17"/>
      <c r="V47" s="17"/>
    </row>
    <row r="48" spans="1:32" x14ac:dyDescent="0.2"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4:15" x14ac:dyDescent="0.2"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4:15" x14ac:dyDescent="0.2"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4:15" x14ac:dyDescent="0.2"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4:15" x14ac:dyDescent="0.2"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4:15" x14ac:dyDescent="0.2"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4:15" x14ac:dyDescent="0.2"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4:15" x14ac:dyDescent="0.2"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7" spans="4:15" x14ac:dyDescent="0.2"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4:15" x14ac:dyDescent="0.2"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</sheetData>
  <mergeCells count="2">
    <mergeCell ref="A3:A4"/>
    <mergeCell ref="AC3:AD3"/>
  </mergeCells>
  <phoneticPr fontId="0" type="noConversion"/>
  <pageMargins left="0.25" right="0.25" top="0.75" bottom="0.75" header="0.3" footer="0.3"/>
  <pageSetup paperSize="9" scale="4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2015-10-20T12:48:58Z</cp:lastPrinted>
  <dcterms:created xsi:type="dcterms:W3CDTF">2011-12-13T08:30:24Z</dcterms:created>
  <dcterms:modified xsi:type="dcterms:W3CDTF">2015-11-16T14:38:45Z</dcterms:modified>
</cp:coreProperties>
</file>