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41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O5" i="1" s="1"/>
  <c r="AP5" i="1" s="1"/>
  <c r="AC5" i="1"/>
  <c r="AD5" i="1"/>
  <c r="AE5" i="1"/>
  <c r="AF5" i="1"/>
  <c r="AG5" i="1"/>
  <c r="AH5" i="1"/>
  <c r="AI5" i="1"/>
  <c r="AJ5" i="1"/>
  <c r="AK5" i="1"/>
  <c r="AL5" i="1"/>
  <c r="AM5" i="1"/>
  <c r="AN5" i="1"/>
  <c r="AN11" i="1" l="1"/>
  <c r="AN12" i="1"/>
  <c r="AN36" i="1"/>
  <c r="AN35" i="1"/>
  <c r="AN33" i="1"/>
  <c r="AN32" i="1"/>
  <c r="AN29" i="1"/>
  <c r="AN28" i="1"/>
  <c r="AN27" i="1"/>
  <c r="AN26" i="1"/>
  <c r="AN25" i="1"/>
  <c r="AN24" i="1"/>
  <c r="AN22" i="1"/>
  <c r="AN19" i="1"/>
  <c r="AN18" i="1"/>
  <c r="AN17" i="1"/>
  <c r="AN16" i="1"/>
  <c r="AN14" i="1"/>
  <c r="AN13" i="1"/>
  <c r="AN9" i="1"/>
  <c r="AN8" i="1"/>
  <c r="AM36" i="1" l="1"/>
  <c r="AM35" i="1"/>
  <c r="AM33" i="1"/>
  <c r="AM32" i="1"/>
  <c r="AM29" i="1"/>
  <c r="AM28" i="1"/>
  <c r="AM27" i="1"/>
  <c r="AM26" i="1"/>
  <c r="AM25" i="1"/>
  <c r="AM24" i="1"/>
  <c r="AM22" i="1"/>
  <c r="AM21" i="1"/>
  <c r="AM19" i="1"/>
  <c r="AM18" i="1"/>
  <c r="AM17" i="1"/>
  <c r="AM16" i="1"/>
  <c r="AM14" i="1"/>
  <c r="AM13" i="1"/>
  <c r="AM12" i="1"/>
  <c r="AM11" i="1"/>
  <c r="AM9" i="1"/>
  <c r="AM8" i="1"/>
  <c r="AL36" i="1" l="1"/>
  <c r="AL35" i="1"/>
  <c r="AL33" i="1"/>
  <c r="AL32" i="1"/>
  <c r="AL29" i="1"/>
  <c r="AL28" i="1"/>
  <c r="AL27" i="1"/>
  <c r="AL26" i="1"/>
  <c r="AL25" i="1"/>
  <c r="AL24" i="1"/>
  <c r="AL22" i="1"/>
  <c r="AL21" i="1"/>
  <c r="AL20" i="1"/>
  <c r="AL19" i="1"/>
  <c r="AL18" i="1"/>
  <c r="AL17" i="1"/>
  <c r="AL16" i="1"/>
  <c r="AL14" i="1"/>
  <c r="AL13" i="1"/>
  <c r="AL11" i="1"/>
  <c r="AL12" i="1"/>
  <c r="AL9" i="1"/>
  <c r="AL8" i="1"/>
  <c r="B36" i="1" l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AK36" i="1" l="1"/>
  <c r="AK35" i="1"/>
  <c r="AK33" i="1"/>
  <c r="AK32" i="1"/>
  <c r="AK29" i="1"/>
  <c r="AK28" i="1"/>
  <c r="AK27" i="1"/>
  <c r="AK26" i="1"/>
  <c r="AK25" i="1"/>
  <c r="AK24" i="1"/>
  <c r="AK22" i="1"/>
  <c r="AK21" i="1"/>
  <c r="AK19" i="1"/>
  <c r="AK18" i="1"/>
  <c r="AK17" i="1"/>
  <c r="AK16" i="1"/>
  <c r="AK14" i="1"/>
  <c r="AK13" i="1"/>
  <c r="AK12" i="1"/>
  <c r="AK11" i="1" s="1"/>
  <c r="AK9" i="1"/>
  <c r="AK8" i="1"/>
  <c r="AK23" i="1" l="1"/>
  <c r="AJ12" i="1" l="1"/>
  <c r="AJ11" i="1"/>
  <c r="AI9" i="1"/>
  <c r="AJ10" i="1" l="1"/>
  <c r="AJ36" i="1"/>
  <c r="AJ35" i="1"/>
  <c r="AJ33" i="1"/>
  <c r="AJ32" i="1"/>
  <c r="AJ29" i="1"/>
  <c r="AJ28" i="1"/>
  <c r="AJ27" i="1"/>
  <c r="AJ26" i="1"/>
  <c r="AJ25" i="1"/>
  <c r="AJ24" i="1"/>
  <c r="AJ22" i="1"/>
  <c r="AJ21" i="1"/>
  <c r="AJ19" i="1"/>
  <c r="AJ18" i="1"/>
  <c r="AJ17" i="1"/>
  <c r="AJ16" i="1"/>
  <c r="AJ14" i="1"/>
  <c r="AJ13" i="1"/>
  <c r="AJ9" i="1"/>
  <c r="AJ8" i="1"/>
  <c r="AI12" i="1" l="1"/>
  <c r="AI11" i="1" s="1"/>
  <c r="AI36" i="1"/>
  <c r="AI35" i="1"/>
  <c r="AI33" i="1"/>
  <c r="AI32" i="1"/>
  <c r="AI29" i="1"/>
  <c r="AI28" i="1"/>
  <c r="AI27" i="1"/>
  <c r="AI26" i="1"/>
  <c r="AI25" i="1"/>
  <c r="AI24" i="1"/>
  <c r="AI22" i="1"/>
  <c r="AI21" i="1"/>
  <c r="AI20" i="1"/>
  <c r="AI19" i="1"/>
  <c r="AI18" i="1"/>
  <c r="AI17" i="1"/>
  <c r="AI16" i="1"/>
  <c r="AI14" i="1"/>
  <c r="AI13" i="1"/>
  <c r="AI8" i="1"/>
  <c r="AH10" i="1" l="1"/>
  <c r="AG29" i="1" l="1"/>
  <c r="AG36" i="1"/>
  <c r="AG35" i="1"/>
  <c r="AG33" i="1"/>
  <c r="AG32" i="1"/>
  <c r="AG26" i="1"/>
  <c r="AG28" i="1"/>
  <c r="AG27" i="1"/>
  <c r="AG25" i="1"/>
  <c r="AG24" i="1"/>
  <c r="AG22" i="1"/>
  <c r="AG21" i="1"/>
  <c r="AG20" i="1"/>
  <c r="AG19" i="1"/>
  <c r="AG18" i="1"/>
  <c r="AG17" i="1"/>
  <c r="AG16" i="1"/>
  <c r="AG14" i="1"/>
  <c r="AG13" i="1"/>
  <c r="AG12" i="1"/>
  <c r="AG11" i="1" s="1"/>
  <c r="AG9" i="1"/>
  <c r="AG8" i="1"/>
  <c r="AF36" i="1" l="1"/>
  <c r="AF35" i="1"/>
  <c r="AF33" i="1"/>
  <c r="AF32" i="1"/>
  <c r="AF29" i="1"/>
  <c r="AF28" i="1"/>
  <c r="AF27" i="1"/>
  <c r="AF26" i="1"/>
  <c r="AF25" i="1"/>
  <c r="AF24" i="1"/>
  <c r="AF22" i="1"/>
  <c r="AF21" i="1"/>
  <c r="AF20" i="1"/>
  <c r="AF19" i="1"/>
  <c r="AF18" i="1"/>
  <c r="AF17" i="1"/>
  <c r="AF16" i="1"/>
  <c r="AF14" i="1"/>
  <c r="AF13" i="1"/>
  <c r="AF11" i="1"/>
  <c r="AF12" i="1"/>
  <c r="AF9" i="1"/>
  <c r="AF8" i="1"/>
  <c r="AB36" i="1" l="1"/>
  <c r="AB35" i="1"/>
  <c r="AB33" i="1"/>
  <c r="AB32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4" i="1"/>
  <c r="AB13" i="1"/>
  <c r="AB12" i="1"/>
  <c r="AB11" i="1"/>
  <c r="AB9" i="1"/>
  <c r="AB8" i="1"/>
  <c r="AB7" i="1" l="1"/>
  <c r="B8" i="1"/>
  <c r="B9" i="1"/>
  <c r="AB10" i="1" l="1"/>
  <c r="AB23" i="1"/>
  <c r="AB34" i="1"/>
  <c r="AB31" i="1"/>
  <c r="AB15" i="1"/>
  <c r="AB30" i="1" l="1"/>
  <c r="AB6" i="1"/>
  <c r="O32" i="1"/>
  <c r="AO32" i="1" s="1"/>
  <c r="AP32" i="1" s="1"/>
  <c r="O33" i="1"/>
  <c r="AO33" i="1" s="1"/>
  <c r="AP33" i="1" s="1"/>
  <c r="O36" i="1" l="1"/>
  <c r="AO36" i="1" s="1"/>
  <c r="AP36" i="1" s="1"/>
  <c r="O35" i="1"/>
  <c r="AO35" i="1" s="1"/>
  <c r="AP35" i="1" s="1"/>
  <c r="O29" i="1"/>
  <c r="AO29" i="1" s="1"/>
  <c r="AP29" i="1" s="1"/>
  <c r="O28" i="1"/>
  <c r="AO28" i="1" s="1"/>
  <c r="AP28" i="1" s="1"/>
  <c r="O27" i="1"/>
  <c r="AO27" i="1" s="1"/>
  <c r="AP27" i="1" s="1"/>
  <c r="O26" i="1"/>
  <c r="AO26" i="1" s="1"/>
  <c r="AP26" i="1" s="1"/>
  <c r="O25" i="1"/>
  <c r="AO25" i="1" s="1"/>
  <c r="AP25" i="1" s="1"/>
  <c r="O24" i="1"/>
  <c r="AO24" i="1" s="1"/>
  <c r="AP24" i="1" s="1"/>
  <c r="O22" i="1"/>
  <c r="AO22" i="1" s="1"/>
  <c r="AP22" i="1" s="1"/>
  <c r="O21" i="1"/>
  <c r="AO21" i="1" s="1"/>
  <c r="AP21" i="1" s="1"/>
  <c r="O20" i="1"/>
  <c r="AO20" i="1" s="1"/>
  <c r="AP20" i="1" s="1"/>
  <c r="O19" i="1"/>
  <c r="AO19" i="1" s="1"/>
  <c r="AP19" i="1" s="1"/>
  <c r="O18" i="1"/>
  <c r="AO18" i="1" s="1"/>
  <c r="AP18" i="1" s="1"/>
  <c r="O17" i="1"/>
  <c r="AO17" i="1" s="1"/>
  <c r="AP17" i="1" s="1"/>
  <c r="O16" i="1"/>
  <c r="AO16" i="1" s="1"/>
  <c r="AP16" i="1" s="1"/>
  <c r="O14" i="1"/>
  <c r="AO14" i="1" s="1"/>
  <c r="AP14" i="1" s="1"/>
  <c r="O13" i="1"/>
  <c r="AO13" i="1" s="1"/>
  <c r="AP13" i="1" s="1"/>
  <c r="O12" i="1"/>
  <c r="AO12" i="1" s="1"/>
  <c r="AP12" i="1" s="1"/>
  <c r="O11" i="1"/>
  <c r="AO11" i="1" s="1"/>
  <c r="AP11" i="1" s="1"/>
  <c r="O9" i="1"/>
  <c r="AO9" i="1" s="1"/>
  <c r="AP9" i="1" s="1"/>
  <c r="O8" i="1"/>
  <c r="AO8" i="1" s="1"/>
  <c r="AP8" i="1" s="1"/>
  <c r="AM31" i="1" l="1"/>
  <c r="B31" i="1" l="1"/>
  <c r="O15" i="1" l="1"/>
  <c r="AO15" i="1" s="1"/>
  <c r="AP15" i="1" s="1"/>
  <c r="O10" i="1"/>
  <c r="AO10" i="1" s="1"/>
  <c r="AP10" i="1" s="1"/>
  <c r="B34" i="1"/>
  <c r="B23" i="1"/>
  <c r="B15" i="1"/>
  <c r="B10" i="1"/>
  <c r="B7" i="1"/>
  <c r="AK34" i="1"/>
  <c r="AK15" i="1"/>
  <c r="AK10" i="1"/>
  <c r="O31" i="1"/>
  <c r="B30" i="1"/>
  <c r="AG31" i="1"/>
  <c r="AG30" i="1" s="1"/>
  <c r="AG15" i="1"/>
  <c r="AJ15" i="1"/>
  <c r="AG10" i="1"/>
  <c r="AJ7" i="1"/>
  <c r="AI23" i="1"/>
  <c r="AI31" i="1"/>
  <c r="AI30" i="1" s="1"/>
  <c r="AI15" i="1"/>
  <c r="Q15" i="1"/>
  <c r="R15" i="1"/>
  <c r="S15" i="1"/>
  <c r="T15" i="1"/>
  <c r="U15" i="1"/>
  <c r="V15" i="1"/>
  <c r="P15" i="1"/>
  <c r="AH15" i="1"/>
  <c r="AH23" i="1"/>
  <c r="AG23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C10" i="1"/>
  <c r="AC34" i="1"/>
  <c r="AC7" i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Q31" i="1"/>
  <c r="Q30" i="1" s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Q7" i="1"/>
  <c r="Q6" i="1" s="1"/>
  <c r="P7" i="1"/>
  <c r="P6" i="1" s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C31" i="1"/>
  <c r="C30" i="1" s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N6" i="1" s="1"/>
  <c r="M7" i="1"/>
  <c r="L7" i="1"/>
  <c r="K7" i="1"/>
  <c r="J7" i="1"/>
  <c r="I7" i="1"/>
  <c r="H7" i="1"/>
  <c r="G7" i="1"/>
  <c r="F7" i="1"/>
  <c r="E7" i="1"/>
  <c r="D7" i="1"/>
  <c r="C7" i="1"/>
  <c r="AN15" i="1"/>
  <c r="AM15" i="1"/>
  <c r="AI34" i="1"/>
  <c r="AI10" i="1"/>
  <c r="AH34" i="1"/>
  <c r="AH7" i="1"/>
  <c r="AH6" i="1" s="1"/>
  <c r="AD34" i="1"/>
  <c r="AD31" i="1"/>
  <c r="AD30" i="1" s="1"/>
  <c r="AD23" i="1"/>
  <c r="AD10" i="1"/>
  <c r="AD7" i="1"/>
  <c r="AC23" i="1"/>
  <c r="AN34" i="1"/>
  <c r="AM34" i="1"/>
  <c r="AJ34" i="1"/>
  <c r="AG34" i="1"/>
  <c r="AN31" i="1"/>
  <c r="AN30" i="1" s="1"/>
  <c r="AM30" i="1"/>
  <c r="AK31" i="1"/>
  <c r="AK30" i="1" s="1"/>
  <c r="AC31" i="1"/>
  <c r="AN23" i="1"/>
  <c r="AM23" i="1"/>
  <c r="AE23" i="1"/>
  <c r="AM7" i="1"/>
  <c r="AL7" i="1"/>
  <c r="AE31" i="1"/>
  <c r="AE30" i="1" s="1"/>
  <c r="AE10" i="1"/>
  <c r="AE7" i="1"/>
  <c r="AF34" i="1"/>
  <c r="AF31" i="1"/>
  <c r="AF30" i="1" s="1"/>
  <c r="AF23" i="1"/>
  <c r="AF15" i="1"/>
  <c r="AF7" i="1"/>
  <c r="AF10" i="1"/>
  <c r="AG7" i="1"/>
  <c r="AH31" i="1"/>
  <c r="AH30" i="1" s="1"/>
  <c r="AI7" i="1"/>
  <c r="AJ31" i="1"/>
  <c r="AJ30" i="1" s="1"/>
  <c r="O34" i="1"/>
  <c r="AO34" i="1" s="1"/>
  <c r="AP34" i="1" s="1"/>
  <c r="AJ23" i="1"/>
  <c r="O23" i="1"/>
  <c r="AO23" i="1" s="1"/>
  <c r="AP23" i="1" s="1"/>
  <c r="O7" i="1"/>
  <c r="AO7" i="1" s="1"/>
  <c r="AP7" i="1" s="1"/>
  <c r="AL10" i="1"/>
  <c r="AL34" i="1"/>
  <c r="AL31" i="1"/>
  <c r="AL30" i="1" s="1"/>
  <c r="AL23" i="1"/>
  <c r="AL15" i="1"/>
  <c r="O30" i="1" l="1"/>
  <c r="AO30" i="1" s="1"/>
  <c r="AP30" i="1" s="1"/>
  <c r="AO31" i="1"/>
  <c r="AP31" i="1" s="1"/>
  <c r="AI6" i="1"/>
  <c r="AE6" i="1"/>
  <c r="AD6" i="1"/>
  <c r="F6" i="1"/>
  <c r="G6" i="1"/>
  <c r="L6" i="1"/>
  <c r="AG6" i="1"/>
  <c r="AF6" i="1"/>
  <c r="AC30" i="1"/>
  <c r="AC6" i="1"/>
  <c r="AL6" i="1"/>
  <c r="AJ6" i="1"/>
  <c r="C6" i="1"/>
  <c r="D6" i="1"/>
  <c r="K6" i="1"/>
  <c r="E6" i="1"/>
  <c r="H6" i="1"/>
  <c r="J6" i="1"/>
  <c r="I6" i="1"/>
  <c r="M6" i="1"/>
  <c r="O6" i="1"/>
  <c r="B6" i="1"/>
  <c r="AK7" i="1"/>
  <c r="AK6" i="1" s="1"/>
  <c r="AO6" i="1" l="1"/>
  <c r="AP6" i="1" s="1"/>
  <c r="AM10" i="1"/>
  <c r="AM6" i="1" s="1"/>
  <c r="AN7" i="1" l="1"/>
  <c r="AN10" i="1"/>
  <c r="AN6" i="1" l="1"/>
</calcChain>
</file>

<file path=xl/sharedStrings.xml><?xml version="1.0" encoding="utf-8"?>
<sst xmlns="http://schemas.openxmlformats.org/spreadsheetml/2006/main" count="76" uniqueCount="48">
  <si>
    <t>-</t>
  </si>
  <si>
    <t>2014 / 2013</t>
  </si>
  <si>
    <t>NCSP Group Cargo Turnover in 2014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</si>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</sst>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74;&#1075;&#1091;&#1089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9;&#1077;&#1085;&#1090;&#1103;&#1073;&#1088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6;&#1082;&#1090;&#1103;&#1073;&#1088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5;&#1086;&#1103;&#1073;&#1088;&#110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6;&#1077;&#1082;&#1072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N8">
            <v>2119.9500000000007</v>
          </cell>
        </row>
        <row r="9">
          <cell r="AN9">
            <v>3297.2</v>
          </cell>
        </row>
        <row r="11">
          <cell r="AN11">
            <v>310.77999999999975</v>
          </cell>
        </row>
        <row r="12">
          <cell r="AN12">
            <v>305.88000000000011</v>
          </cell>
        </row>
        <row r="13">
          <cell r="AN13">
            <v>1.0700000000000003</v>
          </cell>
        </row>
        <row r="14">
          <cell r="AN14">
            <v>874.19</v>
          </cell>
        </row>
        <row r="16">
          <cell r="AN16">
            <v>329.66000000000031</v>
          </cell>
        </row>
        <row r="17">
          <cell r="AN17">
            <v>337.84000000000015</v>
          </cell>
        </row>
        <row r="18">
          <cell r="AN18">
            <v>4.2</v>
          </cell>
        </row>
        <row r="19">
          <cell r="AN19">
            <v>16.799999999999955</v>
          </cell>
        </row>
        <row r="20">
          <cell r="AN20">
            <v>984.65999999999963</v>
          </cell>
        </row>
        <row r="25">
          <cell r="AN25">
            <v>777.17000000000007</v>
          </cell>
        </row>
        <row r="30">
          <cell r="AN30">
            <v>123.97000000000003</v>
          </cell>
        </row>
        <row r="31">
          <cell r="AN31">
            <v>235.20000000000005</v>
          </cell>
        </row>
        <row r="32">
          <cell r="AN32">
            <v>77.299999999999955</v>
          </cell>
        </row>
        <row r="33">
          <cell r="AN33">
            <v>159.03000000000009</v>
          </cell>
        </row>
        <row r="35">
          <cell r="AN35">
            <v>80.720000000000027</v>
          </cell>
        </row>
        <row r="37">
          <cell r="AN37">
            <v>52.639999999999986</v>
          </cell>
        </row>
        <row r="39">
          <cell r="AN39">
            <v>75.720000000000041</v>
          </cell>
        </row>
        <row r="43">
          <cell r="AN43">
            <v>64.599999999999966</v>
          </cell>
        </row>
        <row r="45">
          <cell r="AN45">
            <v>125.74000000000001</v>
          </cell>
        </row>
        <row r="47">
          <cell r="AN47">
            <v>75.42999999999995</v>
          </cell>
        </row>
        <row r="49">
          <cell r="AN49">
            <v>11.339999999999996</v>
          </cell>
        </row>
        <row r="53">
          <cell r="AN53">
            <v>23.949999999999996</v>
          </cell>
        </row>
        <row r="55">
          <cell r="AN55">
            <v>17.830000000000013</v>
          </cell>
        </row>
        <row r="62">
          <cell r="AN62">
            <v>119.37</v>
          </cell>
        </row>
        <row r="64">
          <cell r="AN64">
            <v>0</v>
          </cell>
        </row>
        <row r="67">
          <cell r="AN67">
            <v>2.879999999999999</v>
          </cell>
        </row>
        <row r="69">
          <cell r="AN69">
            <v>24.529999999999998</v>
          </cell>
        </row>
        <row r="74">
          <cell r="AN74">
            <v>1</v>
          </cell>
        </row>
        <row r="79">
          <cell r="AN79">
            <v>11.780000000000001</v>
          </cell>
        </row>
        <row r="80">
          <cell r="AN80">
            <v>19.599999999999994</v>
          </cell>
        </row>
        <row r="81">
          <cell r="AN81">
            <v>15.999999999999986</v>
          </cell>
        </row>
        <row r="83">
          <cell r="AN83">
            <v>117.60000000000002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2617.7999999999993</v>
          </cell>
        </row>
        <row r="9">
          <cell r="AO9">
            <v>3342.5700000000033</v>
          </cell>
        </row>
        <row r="10">
          <cell r="AO10">
            <v>1486.8800000000003</v>
          </cell>
        </row>
        <row r="14">
          <cell r="AO14">
            <v>945.68000000000029</v>
          </cell>
        </row>
        <row r="15">
          <cell r="AO15">
            <v>674.16999999999962</v>
          </cell>
        </row>
        <row r="18">
          <cell r="AO18">
            <v>6.9699999999999989</v>
          </cell>
        </row>
        <row r="20">
          <cell r="AO20">
            <v>962.40000000000055</v>
          </cell>
        </row>
        <row r="25">
          <cell r="AO25">
            <v>557.90000000000032</v>
          </cell>
        </row>
        <row r="30">
          <cell r="AO30">
            <v>128.5</v>
          </cell>
        </row>
        <row r="31">
          <cell r="AO31">
            <v>186.40000000000009</v>
          </cell>
        </row>
        <row r="32">
          <cell r="AO32">
            <v>65.799999999999955</v>
          </cell>
        </row>
        <row r="33">
          <cell r="AO33">
            <v>173</v>
          </cell>
        </row>
        <row r="35">
          <cell r="AO35">
            <v>42.199999999999989</v>
          </cell>
        </row>
        <row r="37">
          <cell r="AO37">
            <v>74.799999999999955</v>
          </cell>
        </row>
        <row r="39">
          <cell r="AO39">
            <v>97.499999999999957</v>
          </cell>
        </row>
        <row r="43">
          <cell r="AO43">
            <v>56.600000000000023</v>
          </cell>
        </row>
        <row r="45">
          <cell r="AO45">
            <v>86.899999999999864</v>
          </cell>
        </row>
        <row r="47">
          <cell r="AO47">
            <v>51.200000000000045</v>
          </cell>
        </row>
        <row r="49">
          <cell r="AO49">
            <v>11.800000000000004</v>
          </cell>
        </row>
        <row r="53">
          <cell r="AO53">
            <v>1.6000000000000014</v>
          </cell>
        </row>
        <row r="55">
          <cell r="AO55">
            <v>8</v>
          </cell>
        </row>
        <row r="62">
          <cell r="AO62">
            <v>96.699999999999932</v>
          </cell>
        </row>
        <row r="64">
          <cell r="AO64">
            <v>6.2000000000000028</v>
          </cell>
        </row>
        <row r="67">
          <cell r="AO67">
            <v>0</v>
          </cell>
        </row>
        <row r="69">
          <cell r="AO69">
            <v>42.099999999999994</v>
          </cell>
        </row>
        <row r="74">
          <cell r="AO74">
            <v>0.70000000000000018</v>
          </cell>
        </row>
        <row r="79">
          <cell r="AO79">
            <v>12.600000000000009</v>
          </cell>
        </row>
        <row r="80">
          <cell r="AO80">
            <v>17.300000000000011</v>
          </cell>
        </row>
        <row r="81">
          <cell r="AO81">
            <v>12.200000000000017</v>
          </cell>
        </row>
        <row r="83">
          <cell r="AO83">
            <v>102.79999999999995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P8">
            <v>2497.2000000000007</v>
          </cell>
        </row>
        <row r="9">
          <cell r="AP9">
            <v>3622.2999999999956</v>
          </cell>
        </row>
        <row r="11">
          <cell r="AP11">
            <v>243.90000000000009</v>
          </cell>
        </row>
        <row r="12">
          <cell r="AP12">
            <v>271.90000000000009</v>
          </cell>
        </row>
        <row r="13">
          <cell r="AP13">
            <v>16.299999999999997</v>
          </cell>
        </row>
        <row r="14">
          <cell r="AP14">
            <v>817.70000000000073</v>
          </cell>
        </row>
        <row r="16">
          <cell r="AP16">
            <v>356.09999999999991</v>
          </cell>
        </row>
        <row r="17">
          <cell r="AP17">
            <v>339.90000000000009</v>
          </cell>
        </row>
        <row r="18">
          <cell r="AP18">
            <v>6.9000000000000057</v>
          </cell>
        </row>
        <row r="19">
          <cell r="AP19">
            <v>6.1000000000000227</v>
          </cell>
        </row>
        <row r="20">
          <cell r="AP20">
            <v>794.09999999999991</v>
          </cell>
        </row>
        <row r="25">
          <cell r="AP25">
            <v>555.20000000000005</v>
          </cell>
        </row>
        <row r="30">
          <cell r="AP30">
            <v>116.59999999999991</v>
          </cell>
        </row>
        <row r="31">
          <cell r="AP31">
            <v>232.90000000000009</v>
          </cell>
        </row>
        <row r="32">
          <cell r="AP32">
            <v>83.700000000000045</v>
          </cell>
        </row>
        <row r="33">
          <cell r="AP33">
            <v>91.699999999999818</v>
          </cell>
        </row>
        <row r="35">
          <cell r="AP35">
            <v>97.900000000000034</v>
          </cell>
        </row>
        <row r="37">
          <cell r="AP37">
            <v>72.300000000000068</v>
          </cell>
        </row>
        <row r="39">
          <cell r="AP39">
            <v>72.399999999999977</v>
          </cell>
        </row>
        <row r="43">
          <cell r="AP43">
            <v>48.600000000000023</v>
          </cell>
        </row>
        <row r="45">
          <cell r="AP45">
            <v>150.10000000000014</v>
          </cell>
        </row>
        <row r="47">
          <cell r="AP47">
            <v>31.199999999999932</v>
          </cell>
        </row>
        <row r="49">
          <cell r="AP49">
            <v>14.900000000000006</v>
          </cell>
        </row>
        <row r="53">
          <cell r="AP53">
            <v>12.300000000000004</v>
          </cell>
        </row>
        <row r="55">
          <cell r="AP55">
            <v>13.699999999999989</v>
          </cell>
        </row>
        <row r="57">
          <cell r="AP57">
            <v>0</v>
          </cell>
        </row>
        <row r="62">
          <cell r="AP62">
            <v>70.700000000000045</v>
          </cell>
        </row>
        <row r="64">
          <cell r="AP64">
            <v>0</v>
          </cell>
        </row>
        <row r="69">
          <cell r="AP69">
            <v>43.400000000000006</v>
          </cell>
        </row>
        <row r="74">
          <cell r="AP74">
            <v>1.5999999999999996</v>
          </cell>
        </row>
        <row r="79">
          <cell r="AP79">
            <v>12.200000000000003</v>
          </cell>
        </row>
        <row r="80">
          <cell r="AP80">
            <v>21.400000000000006</v>
          </cell>
        </row>
        <row r="81">
          <cell r="AP81">
            <v>12.900000000000006</v>
          </cell>
        </row>
        <row r="83">
          <cell r="AP83">
            <v>88.300000000000068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Q8">
            <v>2136</v>
          </cell>
        </row>
        <row r="9">
          <cell r="AQ9">
            <v>3323.4000000000015</v>
          </cell>
        </row>
        <row r="11">
          <cell r="AQ11">
            <v>343.59999999999991</v>
          </cell>
        </row>
        <row r="12">
          <cell r="AQ12">
            <v>140.09999999999991</v>
          </cell>
        </row>
        <row r="13">
          <cell r="AQ13">
            <v>22.200000000000003</v>
          </cell>
        </row>
        <row r="14">
          <cell r="AQ14">
            <v>964.09999999999854</v>
          </cell>
        </row>
        <row r="16">
          <cell r="AQ16">
            <v>346.5</v>
          </cell>
        </row>
        <row r="17">
          <cell r="AQ17">
            <v>324.19999999999982</v>
          </cell>
        </row>
        <row r="18">
          <cell r="AQ18">
            <v>4.3299999999999983</v>
          </cell>
        </row>
        <row r="19">
          <cell r="AQ19">
            <v>10.399999999999977</v>
          </cell>
        </row>
        <row r="20">
          <cell r="AQ20">
            <v>794.09999999999991</v>
          </cell>
        </row>
        <row r="25">
          <cell r="AQ25">
            <v>698.79999999999973</v>
          </cell>
        </row>
        <row r="30">
          <cell r="AQ30">
            <v>113.80000000000018</v>
          </cell>
        </row>
        <row r="31">
          <cell r="AQ31">
            <v>236.59999999999991</v>
          </cell>
        </row>
        <row r="32">
          <cell r="AQ32">
            <v>60.100000000000023</v>
          </cell>
        </row>
        <row r="33">
          <cell r="AQ33">
            <v>108</v>
          </cell>
        </row>
        <row r="35">
          <cell r="AQ35">
            <v>84.100000000000023</v>
          </cell>
        </row>
        <row r="37">
          <cell r="AQ37">
            <v>87.699999999999932</v>
          </cell>
        </row>
        <row r="39">
          <cell r="AQ39">
            <v>98.300000000000068</v>
          </cell>
        </row>
        <row r="43">
          <cell r="AQ43">
            <v>53.5</v>
          </cell>
        </row>
        <row r="45">
          <cell r="AQ45">
            <v>116.79999999999995</v>
          </cell>
        </row>
        <row r="47">
          <cell r="AQ47">
            <v>36.300000000000068</v>
          </cell>
        </row>
        <row r="49">
          <cell r="AQ49">
            <v>20</v>
          </cell>
        </row>
        <row r="53">
          <cell r="AQ53">
            <v>29.5</v>
          </cell>
        </row>
        <row r="55">
          <cell r="AQ55">
            <v>12.199999999999989</v>
          </cell>
        </row>
        <row r="62">
          <cell r="AQ62">
            <v>153.40000000000009</v>
          </cell>
        </row>
        <row r="64">
          <cell r="AQ64">
            <v>2.8999999999999986</v>
          </cell>
        </row>
        <row r="67">
          <cell r="AQ67">
            <v>5.2000000000000011</v>
          </cell>
        </row>
        <row r="69">
          <cell r="AQ69">
            <v>62.699999999999996</v>
          </cell>
        </row>
        <row r="74">
          <cell r="AQ74">
            <v>2.3000000000000007</v>
          </cell>
        </row>
        <row r="79">
          <cell r="AQ79">
            <v>11</v>
          </cell>
        </row>
        <row r="80">
          <cell r="AQ80">
            <v>24.399999999999977</v>
          </cell>
        </row>
        <row r="81">
          <cell r="AQ81">
            <v>9.1999999999999886</v>
          </cell>
        </row>
        <row r="82">
          <cell r="AQ82">
            <v>97.299999999999955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R8">
            <v>1751.5999999999985</v>
          </cell>
        </row>
        <row r="9">
          <cell r="AR9">
            <v>2306.8700000000026</v>
          </cell>
        </row>
        <row r="11">
          <cell r="AR11">
            <v>252.59999999999991</v>
          </cell>
        </row>
        <row r="12">
          <cell r="AR12">
            <v>255.39999999999964</v>
          </cell>
        </row>
        <row r="13">
          <cell r="AR13">
            <v>64.099999999999994</v>
          </cell>
        </row>
        <row r="14">
          <cell r="AR14">
            <v>1040.83</v>
          </cell>
        </row>
        <row r="16">
          <cell r="AR16">
            <v>227.5</v>
          </cell>
        </row>
        <row r="17">
          <cell r="AR17">
            <v>293</v>
          </cell>
        </row>
        <row r="18">
          <cell r="AR18">
            <v>3.8599999999999994</v>
          </cell>
        </row>
        <row r="19">
          <cell r="AR19">
            <v>13.300000000000011</v>
          </cell>
        </row>
        <row r="20">
          <cell r="AR20">
            <v>809.90000000000009</v>
          </cell>
        </row>
        <row r="25">
          <cell r="AR25">
            <v>662.79999999999927</v>
          </cell>
        </row>
        <row r="30">
          <cell r="AR30">
            <v>169.09999999999991</v>
          </cell>
        </row>
        <row r="31">
          <cell r="AR31">
            <v>237.79999999999973</v>
          </cell>
        </row>
        <row r="32">
          <cell r="AR32">
            <v>70.899999999999977</v>
          </cell>
        </row>
        <row r="33">
          <cell r="AR33">
            <v>51.700000000000045</v>
          </cell>
        </row>
        <row r="35">
          <cell r="AR35">
            <v>121.89999999999998</v>
          </cell>
        </row>
        <row r="37">
          <cell r="AR37">
            <v>167.00000000000011</v>
          </cell>
        </row>
        <row r="39">
          <cell r="AR39">
            <v>82.099999999999937</v>
          </cell>
        </row>
        <row r="43">
          <cell r="AR43">
            <v>36.899999999999977</v>
          </cell>
        </row>
        <row r="45">
          <cell r="AR45">
            <v>137.79999999999995</v>
          </cell>
        </row>
        <row r="47">
          <cell r="AR47">
            <v>43.100000000000023</v>
          </cell>
        </row>
        <row r="49">
          <cell r="AR49">
            <v>33.299999999999997</v>
          </cell>
        </row>
        <row r="53">
          <cell r="AR53">
            <v>15</v>
          </cell>
        </row>
        <row r="55">
          <cell r="AR55">
            <v>24</v>
          </cell>
        </row>
        <row r="62">
          <cell r="AR62">
            <v>117</v>
          </cell>
        </row>
        <row r="69">
          <cell r="AR69">
            <v>49.599999999999994</v>
          </cell>
        </row>
        <row r="74">
          <cell r="AR74">
            <v>2.5</v>
          </cell>
        </row>
        <row r="79">
          <cell r="AR79">
            <v>15.870000000000005</v>
          </cell>
        </row>
        <row r="80">
          <cell r="AR80">
            <v>25.900000000000034</v>
          </cell>
        </row>
        <row r="81">
          <cell r="AR81">
            <v>9.3000000000000114</v>
          </cell>
        </row>
        <row r="82">
          <cell r="AR82">
            <v>67.099999999999909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4"/>
  <sheetViews>
    <sheetView tabSelected="1" zoomScaleNormal="100" workbookViewId="0">
      <pane xSplit="1" topLeftCell="L1" activePane="topRight" state="frozen"/>
      <selection pane="topRight" activeCell="AR11" sqref="AR11"/>
    </sheetView>
  </sheetViews>
  <sheetFormatPr defaultRowHeight="12.75" outlineLevelCol="1" x14ac:dyDescent="0.2"/>
  <cols>
    <col min="1" max="1" width="40.85546875" customWidth="1"/>
    <col min="2" max="2" width="10.7109375" style="1" customWidth="1"/>
    <col min="3" max="11" width="10.7109375" hidden="1" customWidth="1" outlineLevel="1"/>
    <col min="12" max="12" width="10.7109375" customWidth="1" collapsed="1"/>
    <col min="13" max="14" width="10.7109375" customWidth="1"/>
    <col min="15" max="15" width="10.7109375" style="1" customWidth="1" collapsed="1"/>
    <col min="16" max="24" width="10.7109375" hidden="1" customWidth="1" outlineLevel="1"/>
    <col min="25" max="26" width="10.7109375" customWidth="1" collapsed="1"/>
    <col min="27" max="27" width="10.7109375" customWidth="1"/>
    <col min="28" max="28" width="10.7109375" style="1" customWidth="1" collapsed="1"/>
    <col min="29" max="37" width="10.7109375" hidden="1" customWidth="1" outlineLevel="1"/>
    <col min="38" max="38" width="10.7109375" customWidth="1" collapsed="1"/>
    <col min="39" max="40" width="10.7109375" customWidth="1"/>
    <col min="41" max="41" width="10.7109375" style="2" customWidth="1" collapsed="1"/>
    <col min="42" max="42" width="10.7109375" customWidth="1"/>
    <col min="44" max="44" width="9.85546875" bestFit="1" customWidth="1"/>
  </cols>
  <sheetData>
    <row r="1" spans="1:45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5" ht="23.25" x14ac:dyDescent="0.35">
      <c r="A2" s="9" t="s">
        <v>2</v>
      </c>
    </row>
    <row r="3" spans="1:45" s="25" customFormat="1" ht="15" customHeight="1" x14ac:dyDescent="0.2">
      <c r="A3" s="39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3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3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40" t="s">
        <v>1</v>
      </c>
      <c r="AP3" s="41"/>
    </row>
    <row r="4" spans="1:45" s="25" customFormat="1" ht="30.75" customHeight="1" x14ac:dyDescent="0.2">
      <c r="A4" s="39"/>
      <c r="B4" s="32">
        <v>2012</v>
      </c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2">
        <v>2013</v>
      </c>
      <c r="P4" s="33" t="s">
        <v>3</v>
      </c>
      <c r="Q4" s="33" t="s">
        <v>4</v>
      </c>
      <c r="R4" s="33" t="s">
        <v>5</v>
      </c>
      <c r="S4" s="33" t="s">
        <v>6</v>
      </c>
      <c r="T4" s="33" t="s">
        <v>7</v>
      </c>
      <c r="U4" s="33" t="s">
        <v>8</v>
      </c>
      <c r="V4" s="33" t="s">
        <v>9</v>
      </c>
      <c r="W4" s="33" t="s">
        <v>10</v>
      </c>
      <c r="X4" s="33" t="s">
        <v>11</v>
      </c>
      <c r="Y4" s="33" t="s">
        <v>12</v>
      </c>
      <c r="Z4" s="33" t="s">
        <v>13</v>
      </c>
      <c r="AA4" s="33" t="s">
        <v>14</v>
      </c>
      <c r="AB4" s="32">
        <v>2014</v>
      </c>
      <c r="AC4" s="33" t="s">
        <v>3</v>
      </c>
      <c r="AD4" s="33" t="s">
        <v>4</v>
      </c>
      <c r="AE4" s="33" t="s">
        <v>5</v>
      </c>
      <c r="AF4" s="33" t="s">
        <v>6</v>
      </c>
      <c r="AG4" s="33" t="s">
        <v>7</v>
      </c>
      <c r="AH4" s="33" t="s">
        <v>8</v>
      </c>
      <c r="AI4" s="33" t="s">
        <v>9</v>
      </c>
      <c r="AJ4" s="33" t="s">
        <v>10</v>
      </c>
      <c r="AK4" s="33" t="s">
        <v>11</v>
      </c>
      <c r="AL4" s="33" t="s">
        <v>12</v>
      </c>
      <c r="AM4" s="33" t="s">
        <v>13</v>
      </c>
      <c r="AN4" s="33" t="s">
        <v>14</v>
      </c>
      <c r="AO4" s="42" t="s">
        <v>15</v>
      </c>
      <c r="AP4" s="43" t="s">
        <v>16</v>
      </c>
    </row>
    <row r="5" spans="1:45" x14ac:dyDescent="0.2">
      <c r="A5" s="3" t="s">
        <v>17</v>
      </c>
      <c r="B5" s="13">
        <f>B6+B15+B23+B30</f>
        <v>146798.69999999998</v>
      </c>
      <c r="C5" s="13">
        <f t="shared" ref="C5:N5" si="0">C6+C15+C23+C30</f>
        <v>13758.199999999999</v>
      </c>
      <c r="D5" s="13">
        <f t="shared" si="0"/>
        <v>13173.600000000002</v>
      </c>
      <c r="E5" s="13">
        <f t="shared" si="0"/>
        <v>14182.499999999996</v>
      </c>
      <c r="F5" s="13">
        <f t="shared" si="0"/>
        <v>14208.099999999999</v>
      </c>
      <c r="G5" s="13">
        <f t="shared" si="0"/>
        <v>13029.800000000001</v>
      </c>
      <c r="H5" s="13">
        <f t="shared" si="0"/>
        <v>13203.1</v>
      </c>
      <c r="I5" s="13">
        <f t="shared" si="0"/>
        <v>12440</v>
      </c>
      <c r="J5" s="13">
        <f t="shared" si="0"/>
        <v>13775.799999999997</v>
      </c>
      <c r="K5" s="13">
        <f t="shared" si="0"/>
        <v>13576.7</v>
      </c>
      <c r="L5" s="13">
        <f t="shared" si="0"/>
        <v>13034.5</v>
      </c>
      <c r="M5" s="13">
        <f t="shared" si="0"/>
        <v>12402.800000000001</v>
      </c>
      <c r="N5" s="13">
        <f t="shared" si="0"/>
        <v>12120.099999999997</v>
      </c>
      <c r="O5" s="13">
        <f>O6+O15+O23+O30</f>
        <v>140981.964782</v>
      </c>
      <c r="P5" s="13">
        <f t="shared" ref="P5:X5" si="1">P6+P15+P23+P30</f>
        <v>12422.554782000001</v>
      </c>
      <c r="Q5" s="13">
        <f t="shared" si="1"/>
        <v>11588.000000000002</v>
      </c>
      <c r="R5" s="13">
        <f t="shared" si="1"/>
        <v>12960.099999999999</v>
      </c>
      <c r="S5" s="13">
        <f t="shared" si="1"/>
        <v>12531.180000000004</v>
      </c>
      <c r="T5" s="13">
        <f t="shared" si="1"/>
        <v>11816.29</v>
      </c>
      <c r="U5" s="13">
        <f t="shared" si="1"/>
        <v>10803.9</v>
      </c>
      <c r="V5" s="13">
        <f t="shared" si="1"/>
        <v>11156.23</v>
      </c>
      <c r="W5" s="13">
        <f t="shared" si="1"/>
        <v>11278.909999999994</v>
      </c>
      <c r="X5" s="13">
        <f t="shared" si="1"/>
        <v>11970.900000000005</v>
      </c>
      <c r="Y5" s="13">
        <f>Y6+Y15+Y23+Y30</f>
        <v>11597.899999999991</v>
      </c>
      <c r="Z5" s="13">
        <f>Z6+Z15+Z23+Z30</f>
        <v>11352.5</v>
      </c>
      <c r="AA5" s="13">
        <f>AA6+AA15+AA23+AA30</f>
        <v>11503.500000000007</v>
      </c>
      <c r="AB5" s="13">
        <f>AB6+AB15+AB23+AB30</f>
        <v>131131.56000000003</v>
      </c>
      <c r="AC5" s="13">
        <f t="shared" ref="AC5:AK5" si="2">AC6+AC15+AC23+AC30</f>
        <v>10902.9</v>
      </c>
      <c r="AD5" s="13">
        <f t="shared" si="2"/>
        <v>10651.81</v>
      </c>
      <c r="AE5" s="13">
        <f t="shared" si="2"/>
        <v>12065.6</v>
      </c>
      <c r="AF5" s="13">
        <f>AF6+AF15+AF23+AF30</f>
        <v>12472.831</v>
      </c>
      <c r="AG5" s="13">
        <f t="shared" si="2"/>
        <v>12032.868999999999</v>
      </c>
      <c r="AH5" s="13">
        <f t="shared" si="2"/>
        <v>10618.19</v>
      </c>
      <c r="AI5" s="13">
        <f t="shared" si="2"/>
        <v>10890.999999999998</v>
      </c>
      <c r="AJ5" s="13">
        <f t="shared" si="2"/>
        <v>10610.449999999999</v>
      </c>
      <c r="AK5" s="13">
        <f t="shared" si="2"/>
        <v>10771.720000000005</v>
      </c>
      <c r="AL5" s="13">
        <f>AL6+AL15+AL23+AL30</f>
        <v>10681.6</v>
      </c>
      <c r="AM5" s="13">
        <f>AM6+AM15+AM23+AM30</f>
        <v>10391.130000000001</v>
      </c>
      <c r="AN5" s="13">
        <f>AN6+AN15+AN23+AN30</f>
        <v>9041.4599999999991</v>
      </c>
      <c r="AO5" s="13">
        <f>AB5-O5</f>
        <v>-9850.4047819999687</v>
      </c>
      <c r="AP5" s="28">
        <f>AO5/O5</f>
        <v>-6.9869963844181218E-2</v>
      </c>
      <c r="AR5" s="31"/>
    </row>
    <row r="6" spans="1:45" x14ac:dyDescent="0.2">
      <c r="A6" s="4" t="s">
        <v>18</v>
      </c>
      <c r="B6" s="14">
        <f t="shared" ref="B6:M6" si="3">B7+B10+B13+B14</f>
        <v>125430.89999999998</v>
      </c>
      <c r="C6" s="14">
        <f t="shared" si="3"/>
        <v>11628.3</v>
      </c>
      <c r="D6" s="14">
        <f t="shared" si="3"/>
        <v>10945.900000000001</v>
      </c>
      <c r="E6" s="14">
        <f t="shared" si="3"/>
        <v>11139.199999999997</v>
      </c>
      <c r="F6" s="14">
        <f t="shared" si="3"/>
        <v>11712.599999999999</v>
      </c>
      <c r="G6" s="14">
        <f t="shared" si="3"/>
        <v>10697.900000000001</v>
      </c>
      <c r="H6" s="14">
        <f t="shared" si="3"/>
        <v>10580.1</v>
      </c>
      <c r="I6" s="14">
        <f t="shared" si="3"/>
        <v>10561.199999999999</v>
      </c>
      <c r="J6" s="14">
        <f t="shared" si="3"/>
        <v>11661.699999999999</v>
      </c>
      <c r="K6" s="14">
        <f t="shared" si="3"/>
        <v>11053.1</v>
      </c>
      <c r="L6" s="14">
        <f t="shared" si="3"/>
        <v>10843.800000000001</v>
      </c>
      <c r="M6" s="14">
        <f t="shared" si="3"/>
        <v>10257.6</v>
      </c>
      <c r="N6" s="14">
        <f>N7+N10+N13+N14</f>
        <v>10024.099999999999</v>
      </c>
      <c r="O6" s="14">
        <f>O7+O10+O13+O14</f>
        <v>116768.31</v>
      </c>
      <c r="P6" s="14">
        <f t="shared" ref="P6:Z6" si="4">P7+P10+P13+P14</f>
        <v>10606.400000000001</v>
      </c>
      <c r="Q6" s="14">
        <f t="shared" si="4"/>
        <v>9707.4000000000015</v>
      </c>
      <c r="R6" s="14">
        <f t="shared" si="4"/>
        <v>10717.099999999999</v>
      </c>
      <c r="S6" s="14">
        <f t="shared" si="4"/>
        <v>11040.920000000002</v>
      </c>
      <c r="T6" s="14">
        <f t="shared" si="4"/>
        <v>9805.15</v>
      </c>
      <c r="U6" s="14">
        <f t="shared" si="4"/>
        <v>9141.5</v>
      </c>
      <c r="V6" s="14">
        <f t="shared" si="4"/>
        <v>9142.630000000001</v>
      </c>
      <c r="W6" s="14">
        <f t="shared" si="4"/>
        <v>9034.3099999999977</v>
      </c>
      <c r="X6" s="14">
        <f t="shared" si="4"/>
        <v>9776.100000000004</v>
      </c>
      <c r="Y6" s="14">
        <f t="shared" si="4"/>
        <v>9583.8999999999924</v>
      </c>
      <c r="Z6" s="14">
        <f t="shared" si="4"/>
        <v>9225.3999999999978</v>
      </c>
      <c r="AA6" s="14">
        <f>AA7+AA10+AA13+AA14</f>
        <v>8987.5000000000073</v>
      </c>
      <c r="AB6" s="14">
        <f t="shared" ref="AB6" si="5">AB7+AB10+AB13+AB14</f>
        <v>101498.76000000001</v>
      </c>
      <c r="AC6" s="14">
        <f>AC7+AC10+AC13+AC14</f>
        <v>8822.7000000000007</v>
      </c>
      <c r="AD6" s="14">
        <f t="shared" ref="AD6:AM6" si="6">AD7+AD10+AD13+AD14</f>
        <v>8429.6099999999988</v>
      </c>
      <c r="AE6" s="14">
        <f t="shared" si="6"/>
        <v>9691.2999999999993</v>
      </c>
      <c r="AF6" s="14">
        <f>AF7+AF10+AF13+AF14</f>
        <v>9811.0299999999988</v>
      </c>
      <c r="AG6" s="14">
        <f t="shared" si="6"/>
        <v>9493.2699999999986</v>
      </c>
      <c r="AH6" s="14">
        <f t="shared" si="6"/>
        <v>8685.1800000000021</v>
      </c>
      <c r="AI6" s="14">
        <f>AI7+AI10+AI13+AI14</f>
        <v>8551.7299999999977</v>
      </c>
      <c r="AJ6" s="14">
        <f>AJ7+AJ10+AJ13+AJ14</f>
        <v>7670.630000000001</v>
      </c>
      <c r="AK6" s="14">
        <f t="shared" si="6"/>
        <v>8180.6200000000026</v>
      </c>
      <c r="AL6" s="14">
        <f t="shared" si="6"/>
        <v>8223.1999999999989</v>
      </c>
      <c r="AM6" s="14">
        <f t="shared" si="6"/>
        <v>7663.33</v>
      </c>
      <c r="AN6" s="14">
        <f>AN7+AN10+AN13+AN14</f>
        <v>6276.1600000000008</v>
      </c>
      <c r="AO6" s="14">
        <f>AB6-O6</f>
        <v>-15269.549999999988</v>
      </c>
      <c r="AP6" s="26">
        <f t="shared" ref="AP6:AP36" si="7">AO6/O6</f>
        <v>-0.13076792838741941</v>
      </c>
      <c r="AR6" s="31"/>
    </row>
    <row r="7" spans="1:45" x14ac:dyDescent="0.2">
      <c r="A7" s="5" t="s">
        <v>19</v>
      </c>
      <c r="B7" s="16">
        <f>SUM(B8:B9)</f>
        <v>110829.69999999998</v>
      </c>
      <c r="C7" s="16">
        <f>SUM(C8:C9)</f>
        <v>9883.6</v>
      </c>
      <c r="D7" s="16">
        <f t="shared" ref="D7:M7" si="8">SUM(D8:D9)</f>
        <v>9195.9000000000015</v>
      </c>
      <c r="E7" s="16">
        <f t="shared" si="8"/>
        <v>9403.5999999999985</v>
      </c>
      <c r="F7" s="16">
        <f t="shared" si="8"/>
        <v>9945.2999999999993</v>
      </c>
      <c r="G7" s="16">
        <f t="shared" si="8"/>
        <v>9455.2000000000007</v>
      </c>
      <c r="H7" s="16">
        <f t="shared" si="8"/>
        <v>9225.9</v>
      </c>
      <c r="I7" s="16">
        <f t="shared" si="8"/>
        <v>9131.7999999999993</v>
      </c>
      <c r="J7" s="16">
        <f t="shared" si="8"/>
        <v>9761.5999999999985</v>
      </c>
      <c r="K7" s="16">
        <f t="shared" si="8"/>
        <v>9375.9</v>
      </c>
      <c r="L7" s="16">
        <f t="shared" si="8"/>
        <v>9317.6</v>
      </c>
      <c r="M7" s="16">
        <f t="shared" si="8"/>
        <v>8284</v>
      </c>
      <c r="N7" s="16">
        <f t="shared" ref="N7:AA7" si="9">SUM(N8:N9)</f>
        <v>7849.2999999999993</v>
      </c>
      <c r="O7" s="16">
        <f>SUM(O8:O9)</f>
        <v>91735.9</v>
      </c>
      <c r="P7" s="16">
        <f t="shared" si="9"/>
        <v>8251.5</v>
      </c>
      <c r="Q7" s="16">
        <f t="shared" si="9"/>
        <v>7515.3000000000011</v>
      </c>
      <c r="R7" s="16">
        <f t="shared" si="9"/>
        <v>8250.1999999999989</v>
      </c>
      <c r="S7" s="16">
        <f t="shared" si="9"/>
        <v>8909.8000000000011</v>
      </c>
      <c r="T7" s="16">
        <f t="shared" si="9"/>
        <v>7937.1999999999989</v>
      </c>
      <c r="U7" s="16">
        <f t="shared" si="9"/>
        <v>6954</v>
      </c>
      <c r="V7" s="16">
        <f t="shared" si="9"/>
        <v>6902.0999999999985</v>
      </c>
      <c r="W7" s="16">
        <f t="shared" si="9"/>
        <v>6742.2999999999993</v>
      </c>
      <c r="X7" s="16">
        <f t="shared" si="9"/>
        <v>7967.2000000000044</v>
      </c>
      <c r="Y7" s="16">
        <f t="shared" si="9"/>
        <v>8083.8999999999942</v>
      </c>
      <c r="Z7" s="16">
        <f t="shared" si="9"/>
        <v>7373.8999999999978</v>
      </c>
      <c r="AA7" s="16">
        <f t="shared" si="9"/>
        <v>6848.5000000000073</v>
      </c>
      <c r="AB7" s="16">
        <f>SUM(AB8:AB9)</f>
        <v>72779.960000000006</v>
      </c>
      <c r="AC7" s="16">
        <f>SUM(AC8:AC9)</f>
        <v>6351.2</v>
      </c>
      <c r="AD7" s="16">
        <f>SUM(AD8:AD9)</f>
        <v>6170.3</v>
      </c>
      <c r="AE7" s="16">
        <f t="shared" ref="AE7:AM7" si="10">SUM(AE8:AE9)</f>
        <v>6969.5</v>
      </c>
      <c r="AF7" s="16">
        <f>SUM(AF8:AF9)</f>
        <v>7066.76</v>
      </c>
      <c r="AG7" s="16">
        <f t="shared" si="10"/>
        <v>6954.739999999998</v>
      </c>
      <c r="AH7" s="16">
        <f t="shared" si="10"/>
        <v>6249.7100000000009</v>
      </c>
      <c r="AI7" s="16">
        <f t="shared" si="10"/>
        <v>6002.8599999999988</v>
      </c>
      <c r="AJ7" s="16">
        <f>SUM(AJ8:AJ9)</f>
        <v>5417.1500000000005</v>
      </c>
      <c r="AK7" s="16">
        <f t="shared" si="10"/>
        <v>5960.3700000000026</v>
      </c>
      <c r="AL7" s="16">
        <f t="shared" si="10"/>
        <v>6119.4999999999964</v>
      </c>
      <c r="AM7" s="16">
        <f t="shared" si="10"/>
        <v>5459.4000000000015</v>
      </c>
      <c r="AN7" s="16">
        <f>SUM(AN8:AN9)</f>
        <v>4058.4700000000012</v>
      </c>
      <c r="AO7" s="16">
        <f>AB7-O7</f>
        <v>-18955.939999999988</v>
      </c>
      <c r="AP7" s="27">
        <f t="shared" si="7"/>
        <v>-0.20663600618732675</v>
      </c>
      <c r="AR7" s="31"/>
    </row>
    <row r="8" spans="1:45" s="7" customFormat="1" x14ac:dyDescent="0.2">
      <c r="A8" s="6" t="s">
        <v>20</v>
      </c>
      <c r="B8" s="15">
        <f>SUM(C8:N8)</f>
        <v>42584.799999999996</v>
      </c>
      <c r="C8" s="15">
        <v>3474.6</v>
      </c>
      <c r="D8" s="15">
        <v>3670.8</v>
      </c>
      <c r="E8" s="15">
        <v>3394.2</v>
      </c>
      <c r="F8" s="15">
        <v>3632.7</v>
      </c>
      <c r="G8" s="15">
        <v>3455.3</v>
      </c>
      <c r="H8" s="15">
        <v>3961.1</v>
      </c>
      <c r="I8" s="15">
        <v>3646.2</v>
      </c>
      <c r="J8" s="15">
        <v>4153.3999999999996</v>
      </c>
      <c r="K8" s="15">
        <v>3362.4</v>
      </c>
      <c r="L8" s="15">
        <v>3623.1</v>
      </c>
      <c r="M8" s="15">
        <v>2955.6</v>
      </c>
      <c r="N8" s="15">
        <v>3255.4</v>
      </c>
      <c r="O8" s="15">
        <f>SUM(P8:AA8)</f>
        <v>37214.400000000001</v>
      </c>
      <c r="P8" s="15">
        <v>2854.4</v>
      </c>
      <c r="Q8" s="15">
        <v>3214.2000000000003</v>
      </c>
      <c r="R8" s="15">
        <v>3463.6000000000004</v>
      </c>
      <c r="S8" s="15">
        <v>3108.6999999999989</v>
      </c>
      <c r="T8" s="15">
        <v>3146.6000000000004</v>
      </c>
      <c r="U8" s="15">
        <v>3189.2000000000007</v>
      </c>
      <c r="V8" s="15">
        <v>3059.0999999999985</v>
      </c>
      <c r="W8" s="15">
        <v>3030.9000000000015</v>
      </c>
      <c r="X8" s="15">
        <v>3272.5</v>
      </c>
      <c r="Y8" s="15">
        <v>3149.0999999999985</v>
      </c>
      <c r="Z8" s="15">
        <v>2981.8999999999978</v>
      </c>
      <c r="AA8" s="15">
        <v>2744.2000000000044</v>
      </c>
      <c r="AB8" s="15">
        <f>SUM(AC8:AN8)</f>
        <v>30426.1</v>
      </c>
      <c r="AC8" s="15">
        <v>2657</v>
      </c>
      <c r="AD8" s="15">
        <v>2553.8000000000002</v>
      </c>
      <c r="AE8" s="15">
        <v>3155.9999999999991</v>
      </c>
      <c r="AF8" s="15">
        <f>[18]объемы!$AJ$8</f>
        <v>2861.5300000000007</v>
      </c>
      <c r="AG8" s="15">
        <f>[19]объемы!$AK$8</f>
        <v>2944.0699999999997</v>
      </c>
      <c r="AH8" s="15">
        <v>2635.4499999999989</v>
      </c>
      <c r="AI8" s="15">
        <f>[20]объемы!$AM$8</f>
        <v>2495.7000000000007</v>
      </c>
      <c r="AJ8" s="15">
        <f>[21]объемы!$AN$8</f>
        <v>2119.9500000000007</v>
      </c>
      <c r="AK8" s="15">
        <f>[22]объемы!$AO$8</f>
        <v>2617.7999999999993</v>
      </c>
      <c r="AL8" s="15">
        <f>[23]объемы!$AP$8</f>
        <v>2497.2000000000007</v>
      </c>
      <c r="AM8" s="15">
        <f>[24]объемы!$AQ$8</f>
        <v>2136</v>
      </c>
      <c r="AN8" s="15">
        <f>[25]объемы!$AR$8</f>
        <v>1751.5999999999985</v>
      </c>
      <c r="AO8" s="16">
        <f>AB8-O8</f>
        <v>-6788.3000000000029</v>
      </c>
      <c r="AP8" s="27">
        <f t="shared" si="7"/>
        <v>-0.18241057225160159</v>
      </c>
      <c r="AR8" s="31"/>
    </row>
    <row r="9" spans="1:45" s="7" customFormat="1" x14ac:dyDescent="0.2">
      <c r="A9" s="6" t="s">
        <v>21</v>
      </c>
      <c r="B9" s="15">
        <f>SUM(C9:N9)</f>
        <v>68244.899999999994</v>
      </c>
      <c r="C9" s="15">
        <v>6409</v>
      </c>
      <c r="D9" s="15">
        <v>5525.1</v>
      </c>
      <c r="E9" s="15">
        <v>6009.4</v>
      </c>
      <c r="F9" s="15">
        <v>6312.6</v>
      </c>
      <c r="G9" s="15">
        <v>5999.9</v>
      </c>
      <c r="H9" s="15">
        <v>5264.8</v>
      </c>
      <c r="I9" s="15">
        <v>5485.6</v>
      </c>
      <c r="J9" s="15">
        <v>5608.2</v>
      </c>
      <c r="K9" s="15">
        <v>6013.5</v>
      </c>
      <c r="L9" s="15">
        <v>5694.5</v>
      </c>
      <c r="M9" s="15">
        <v>5328.4</v>
      </c>
      <c r="N9" s="15">
        <v>4593.8999999999996</v>
      </c>
      <c r="O9" s="15">
        <f>SUM(P9:AA9)</f>
        <v>54521.5</v>
      </c>
      <c r="P9" s="15">
        <v>5397.1</v>
      </c>
      <c r="Q9" s="15">
        <v>4301.1000000000004</v>
      </c>
      <c r="R9" s="15">
        <v>4786.5999999999985</v>
      </c>
      <c r="S9" s="15">
        <v>5801.1000000000022</v>
      </c>
      <c r="T9" s="15">
        <v>4790.5999999999985</v>
      </c>
      <c r="U9" s="15">
        <v>3764.7999999999993</v>
      </c>
      <c r="V9" s="15">
        <v>3843</v>
      </c>
      <c r="W9" s="15">
        <v>3711.3999999999978</v>
      </c>
      <c r="X9" s="15">
        <v>4694.7000000000044</v>
      </c>
      <c r="Y9" s="15">
        <v>4934.7999999999956</v>
      </c>
      <c r="Z9" s="15">
        <v>4392</v>
      </c>
      <c r="AA9" s="15">
        <v>4104.3000000000029</v>
      </c>
      <c r="AB9" s="15">
        <f>SUM(AC9:AN9)</f>
        <v>42353.860000000008</v>
      </c>
      <c r="AC9" s="16">
        <v>3694.2</v>
      </c>
      <c r="AD9" s="15">
        <v>3616.5</v>
      </c>
      <c r="AE9" s="15">
        <v>3813.5000000000009</v>
      </c>
      <c r="AF9" s="16">
        <f>[18]объемы!$AJ$9</f>
        <v>4205.2299999999996</v>
      </c>
      <c r="AG9" s="15">
        <f>[19]объемы!$AK$9</f>
        <v>4010.6699999999983</v>
      </c>
      <c r="AH9" s="15">
        <v>3614.260000000002</v>
      </c>
      <c r="AI9" s="15">
        <f>[20]объемы!$AM$9-107.1</f>
        <v>3507.1599999999985</v>
      </c>
      <c r="AJ9" s="15">
        <f>[21]объемы!$AN$9</f>
        <v>3297.2</v>
      </c>
      <c r="AK9" s="15">
        <f>[22]объемы!$AO$9</f>
        <v>3342.5700000000033</v>
      </c>
      <c r="AL9" s="15">
        <f>[23]объемы!$AP$9</f>
        <v>3622.2999999999956</v>
      </c>
      <c r="AM9" s="15">
        <f>[24]объемы!$AQ$9</f>
        <v>3323.4000000000015</v>
      </c>
      <c r="AN9" s="15">
        <f>[25]объемы!$AR$9</f>
        <v>2306.8700000000026</v>
      </c>
      <c r="AO9" s="16">
        <f>AB9-O9</f>
        <v>-12167.639999999992</v>
      </c>
      <c r="AP9" s="27">
        <f t="shared" si="7"/>
        <v>-0.22317140944398067</v>
      </c>
      <c r="AR9" s="31"/>
    </row>
    <row r="10" spans="1:45" x14ac:dyDescent="0.2">
      <c r="A10" s="5" t="s">
        <v>22</v>
      </c>
      <c r="B10" s="16">
        <f>SUM(B11:B12)</f>
        <v>13931.3</v>
      </c>
      <c r="C10" s="16">
        <f t="shared" ref="C10:N10" si="11">SUM(C11:C12)</f>
        <v>1683.4</v>
      </c>
      <c r="D10" s="16">
        <f t="shared" si="11"/>
        <v>1682</v>
      </c>
      <c r="E10" s="16">
        <f t="shared" si="11"/>
        <v>1651.8</v>
      </c>
      <c r="F10" s="16">
        <f t="shared" si="11"/>
        <v>1649.1</v>
      </c>
      <c r="G10" s="16">
        <f t="shared" si="11"/>
        <v>1153.5</v>
      </c>
      <c r="H10" s="16">
        <f t="shared" si="11"/>
        <v>1294.5999999999999</v>
      </c>
      <c r="I10" s="16">
        <f t="shared" si="11"/>
        <v>1357.4</v>
      </c>
      <c r="J10" s="16">
        <f t="shared" si="11"/>
        <v>1817.5</v>
      </c>
      <c r="K10" s="16">
        <f t="shared" si="11"/>
        <v>1642</v>
      </c>
      <c r="L10" s="16">
        <f t="shared" si="11"/>
        <v>1451.2</v>
      </c>
      <c r="M10" s="16">
        <f t="shared" si="11"/>
        <v>1898</v>
      </c>
      <c r="N10" s="16">
        <f t="shared" si="11"/>
        <v>2115.5</v>
      </c>
      <c r="O10" s="16">
        <f>SUM(O11:O12)</f>
        <v>24205.200000000001</v>
      </c>
      <c r="P10" s="16">
        <f t="shared" ref="P10:X10" si="12">SUM(P11:P12)</f>
        <v>2301.6999999999998</v>
      </c>
      <c r="Q10" s="16">
        <f t="shared" si="12"/>
        <v>2122.6999999999998</v>
      </c>
      <c r="R10" s="16">
        <f t="shared" si="12"/>
        <v>2403.4</v>
      </c>
      <c r="S10" s="16">
        <f t="shared" si="12"/>
        <v>2060.71</v>
      </c>
      <c r="T10" s="16">
        <f t="shared" si="12"/>
        <v>1775.69</v>
      </c>
      <c r="U10" s="16">
        <f t="shared" si="12"/>
        <v>2137.1</v>
      </c>
      <c r="V10" s="16">
        <f t="shared" si="12"/>
        <v>2174.6000000000013</v>
      </c>
      <c r="W10" s="16">
        <f t="shared" si="12"/>
        <v>2236.2999999999993</v>
      </c>
      <c r="X10" s="16">
        <f t="shared" si="12"/>
        <v>1774.8999999999996</v>
      </c>
      <c r="Y10" s="16">
        <f>SUM(Y11:Y12)</f>
        <v>1396.8000000000002</v>
      </c>
      <c r="Z10" s="16">
        <f>SUM(Z11:Z12)</f>
        <v>1789.4000000000012</v>
      </c>
      <c r="AA10" s="16">
        <f>SUM(AA11:AA12)</f>
        <v>2031.8999999999992</v>
      </c>
      <c r="AB10" s="38">
        <f>SUM(AB11:AB12)</f>
        <v>27784.89</v>
      </c>
      <c r="AC10" s="16">
        <f>SUM(AC11:AC12)</f>
        <v>2379.8000000000002</v>
      </c>
      <c r="AD10" s="16">
        <f t="shared" ref="AD10:AN10" si="13">SUM(AD11:AD12)</f>
        <v>2184.6</v>
      </c>
      <c r="AE10" s="16">
        <f t="shared" si="13"/>
        <v>2614.5</v>
      </c>
      <c r="AF10" s="16">
        <f>SUM(AF11:AF12)</f>
        <v>2672.2</v>
      </c>
      <c r="AG10" s="16">
        <f t="shared" si="13"/>
        <v>2460.2000000000007</v>
      </c>
      <c r="AH10" s="16">
        <f t="shared" si="13"/>
        <v>2345.62</v>
      </c>
      <c r="AI10" s="16">
        <f>SUM(AI11:AI12)</f>
        <v>2441.8799999999997</v>
      </c>
      <c r="AJ10" s="16">
        <f>SUM(AJ11:AJ12)</f>
        <v>2160.2200000000003</v>
      </c>
      <c r="AK10" s="16">
        <f t="shared" si="13"/>
        <v>2161.0500000000002</v>
      </c>
      <c r="AL10" s="16">
        <f>SUM(AL11:AL12)</f>
        <v>2058.8000000000011</v>
      </c>
      <c r="AM10" s="16">
        <f t="shared" si="13"/>
        <v>2155.429999999998</v>
      </c>
      <c r="AN10" s="16">
        <f t="shared" si="13"/>
        <v>2150.5899999999992</v>
      </c>
      <c r="AO10" s="16">
        <f>AB10-O10</f>
        <v>3579.6899999999987</v>
      </c>
      <c r="AP10" s="27">
        <f t="shared" si="7"/>
        <v>0.1478892965147984</v>
      </c>
      <c r="AQ10" s="36"/>
      <c r="AR10" s="31"/>
    </row>
    <row r="11" spans="1:45" s="7" customFormat="1" x14ac:dyDescent="0.2">
      <c r="A11" s="6" t="s">
        <v>23</v>
      </c>
      <c r="B11" s="15">
        <f>SUM(C11:K11)</f>
        <v>9109.1</v>
      </c>
      <c r="C11" s="15">
        <v>1098.4000000000001</v>
      </c>
      <c r="D11" s="15">
        <v>1057.7</v>
      </c>
      <c r="E11" s="15">
        <v>1086.5</v>
      </c>
      <c r="F11" s="15">
        <v>1341.5</v>
      </c>
      <c r="G11" s="15">
        <v>887.9</v>
      </c>
      <c r="H11" s="15">
        <v>886.3</v>
      </c>
      <c r="I11" s="15">
        <v>691.6</v>
      </c>
      <c r="J11" s="15">
        <v>1046.7</v>
      </c>
      <c r="K11" s="15">
        <v>1012.5</v>
      </c>
      <c r="L11" s="15">
        <v>936.6</v>
      </c>
      <c r="M11" s="15">
        <v>1352.8</v>
      </c>
      <c r="N11" s="15">
        <v>1355.7</v>
      </c>
      <c r="O11" s="15">
        <f t="shared" ref="O11:O29" si="14">SUM(P11:AA11)</f>
        <v>14772.300000000001</v>
      </c>
      <c r="P11" s="15">
        <v>1577.3</v>
      </c>
      <c r="Q11" s="15">
        <v>1353.5</v>
      </c>
      <c r="R11" s="15">
        <v>1593.1000000000001</v>
      </c>
      <c r="S11" s="15">
        <v>1358</v>
      </c>
      <c r="T11" s="15">
        <v>1147.6000000000001</v>
      </c>
      <c r="U11" s="15">
        <v>1290.8</v>
      </c>
      <c r="V11" s="15">
        <v>1258.7000000000005</v>
      </c>
      <c r="W11" s="15">
        <v>1351.3999999999999</v>
      </c>
      <c r="X11" s="15">
        <v>987.99999999999977</v>
      </c>
      <c r="Y11" s="15">
        <v>652.9000000000002</v>
      </c>
      <c r="Z11" s="15">
        <v>950.90000000000009</v>
      </c>
      <c r="AA11" s="15">
        <v>1250.0999999999999</v>
      </c>
      <c r="AB11" s="15">
        <f t="shared" ref="AB11:AB14" si="15">SUM(AC11:AN11)</f>
        <v>16406.7</v>
      </c>
      <c r="AC11" s="15">
        <v>1404.1</v>
      </c>
      <c r="AD11" s="15">
        <v>1272.1999999999998</v>
      </c>
      <c r="AE11" s="15">
        <v>1710.8</v>
      </c>
      <c r="AF11" s="15">
        <f>[18]объемы!$AJ$11+[18]объемы!$AJ$12+[18]объемы!$AJ$13+[18]объемы!$AJ$16+[18]объемы!$AJ$17+[18]объемы!$AJ$19</f>
        <v>1657.0499999999997</v>
      </c>
      <c r="AG11" s="15">
        <f>[19]объемы!$AK$10+[19]объемы!$AK$15-AG12</f>
        <v>1468.5500000000002</v>
      </c>
      <c r="AH11" s="15">
        <v>1380.3799999999999</v>
      </c>
      <c r="AI11" s="15">
        <f>[20]объемы!$AM$10+[20]объемы!$AM$15-AI12</f>
        <v>1476.0900000000001</v>
      </c>
      <c r="AJ11" s="15">
        <f>[21]объемы!$AN$11+[21]объемы!$AN$12+[21]объемы!$AN$13+[21]объемы!$AN$16+[21]объемы!$AN$17+[21]объемы!$AN$19</f>
        <v>1302.0300000000004</v>
      </c>
      <c r="AK11" s="15">
        <f>[22]объемы!$AO$10+[22]объемы!$AO$15-AK12</f>
        <v>1208.3999999999999</v>
      </c>
      <c r="AL11" s="15">
        <f>[23]объемы!$AP$11+[23]объемы!$AP$12+[23]объемы!$AP$13+[23]объемы!$AP$16+[23]объемы!$AP$17+[23]объемы!$AP$19</f>
        <v>1234.2000000000003</v>
      </c>
      <c r="AM11" s="15">
        <f>[24]объемы!$AQ$11+[24]объемы!$AQ$12+[24]объемы!$AQ$13+[24]объемы!$AQ$16+[24]объемы!$AQ$17+[24]объемы!$AQ$19</f>
        <v>1186.9999999999995</v>
      </c>
      <c r="AN11" s="15">
        <f>[25]объемы!$AR$11+[25]объемы!$AR$12+[25]объемы!$AR$13+[25]объемы!$AR$16+[25]объемы!$AR$17+[25]объемы!$AR$19</f>
        <v>1105.8999999999994</v>
      </c>
      <c r="AO11" s="16">
        <f>AB11-O11</f>
        <v>1634.3999999999996</v>
      </c>
      <c r="AP11" s="27">
        <f t="shared" si="7"/>
        <v>0.11063950772730038</v>
      </c>
      <c r="AQ11" s="36"/>
      <c r="AR11" s="31"/>
      <c r="AS11" s="34"/>
    </row>
    <row r="12" spans="1:45" s="7" customFormat="1" x14ac:dyDescent="0.2">
      <c r="A12" s="6" t="s">
        <v>24</v>
      </c>
      <c r="B12" s="15">
        <f>SUM(C12:K12)</f>
        <v>4822.2</v>
      </c>
      <c r="C12" s="15">
        <v>585</v>
      </c>
      <c r="D12" s="15">
        <v>624.29999999999995</v>
      </c>
      <c r="E12" s="15">
        <v>565.29999999999995</v>
      </c>
      <c r="F12" s="15">
        <v>307.60000000000002</v>
      </c>
      <c r="G12" s="15">
        <v>265.60000000000002</v>
      </c>
      <c r="H12" s="15">
        <v>408.3</v>
      </c>
      <c r="I12" s="15">
        <v>665.8</v>
      </c>
      <c r="J12" s="15">
        <v>770.8</v>
      </c>
      <c r="K12" s="15">
        <v>629.5</v>
      </c>
      <c r="L12" s="15">
        <v>514.6</v>
      </c>
      <c r="M12" s="15">
        <v>545.20000000000005</v>
      </c>
      <c r="N12" s="15">
        <v>759.8</v>
      </c>
      <c r="O12" s="15">
        <f t="shared" si="14"/>
        <v>9432.9</v>
      </c>
      <c r="P12" s="15">
        <v>724.4</v>
      </c>
      <c r="Q12" s="15">
        <v>769.2</v>
      </c>
      <c r="R12" s="15">
        <v>810.3</v>
      </c>
      <c r="S12" s="15">
        <v>702.70999999999992</v>
      </c>
      <c r="T12" s="15">
        <v>628.08999999999992</v>
      </c>
      <c r="U12" s="15">
        <v>846.29999999999984</v>
      </c>
      <c r="V12" s="15">
        <v>915.90000000000077</v>
      </c>
      <c r="W12" s="15">
        <v>884.89999999999941</v>
      </c>
      <c r="X12" s="15">
        <v>786.9</v>
      </c>
      <c r="Y12" s="15">
        <v>743.89999999999986</v>
      </c>
      <c r="Z12" s="15">
        <v>838.50000000000114</v>
      </c>
      <c r="AA12" s="15">
        <v>781.79999999999927</v>
      </c>
      <c r="AB12" s="15">
        <f t="shared" si="15"/>
        <v>11378.189999999999</v>
      </c>
      <c r="AC12" s="15">
        <v>975.7</v>
      </c>
      <c r="AD12" s="15">
        <v>912.40000000000009</v>
      </c>
      <c r="AE12" s="15">
        <v>903.69999999999982</v>
      </c>
      <c r="AF12" s="15">
        <f>[18]объемы!$AJ$145+[18]объемы!$AJ$146</f>
        <v>1015.15</v>
      </c>
      <c r="AG12" s="15">
        <f>[19]объемы!$AK$14+[19]объемы!$AK$18</f>
        <v>991.65000000000043</v>
      </c>
      <c r="AH12" s="15">
        <v>965.24</v>
      </c>
      <c r="AI12" s="15">
        <f>[20]объемы!$AM$145+[20]объемы!$AM$146</f>
        <v>965.78999999999962</v>
      </c>
      <c r="AJ12" s="15">
        <f>[21]объемы!$AN$14+[21]объемы!$AN$18-20.2</f>
        <v>858.19</v>
      </c>
      <c r="AK12" s="15">
        <f>[22]объемы!$AO$14+[22]объемы!$AO$18</f>
        <v>952.65000000000032</v>
      </c>
      <c r="AL12" s="15">
        <f>[23]объемы!$AP$14+[23]объемы!$AP$18</f>
        <v>824.6000000000007</v>
      </c>
      <c r="AM12" s="15">
        <f>[24]объемы!$AQ$14+[24]объемы!$AQ$18</f>
        <v>968.42999999999859</v>
      </c>
      <c r="AN12" s="15">
        <f>[25]объемы!$AR$14+[25]объемы!$AR$18</f>
        <v>1044.6899999999998</v>
      </c>
      <c r="AO12" s="16">
        <f>AB12-O12</f>
        <v>1945.2899999999991</v>
      </c>
      <c r="AP12" s="27">
        <f t="shared" si="7"/>
        <v>0.20622396081798802</v>
      </c>
      <c r="AQ12" s="36"/>
      <c r="AR12" s="31"/>
      <c r="AS12" s="34"/>
    </row>
    <row r="13" spans="1:45" x14ac:dyDescent="0.2">
      <c r="A13" s="5" t="s">
        <v>25</v>
      </c>
      <c r="B13" s="30">
        <f>SUM(C13:K13)</f>
        <v>302.89999999999998</v>
      </c>
      <c r="C13" s="16">
        <v>33</v>
      </c>
      <c r="D13" s="16">
        <v>27.5</v>
      </c>
      <c r="E13" s="16">
        <v>0</v>
      </c>
      <c r="F13" s="16">
        <v>34.9</v>
      </c>
      <c r="G13" s="16">
        <v>22.1</v>
      </c>
      <c r="H13" s="16">
        <v>31.5</v>
      </c>
      <c r="I13" s="16">
        <v>57.5</v>
      </c>
      <c r="J13" s="16">
        <v>65.900000000000006</v>
      </c>
      <c r="K13" s="16">
        <v>30.5</v>
      </c>
      <c r="L13" s="16">
        <v>58.6</v>
      </c>
      <c r="M13" s="16">
        <v>60.6</v>
      </c>
      <c r="N13" s="16">
        <v>41.9</v>
      </c>
      <c r="O13" s="15">
        <f t="shared" si="14"/>
        <v>632.71</v>
      </c>
      <c r="P13" s="16">
        <v>32.6</v>
      </c>
      <c r="Q13" s="16">
        <v>63.2</v>
      </c>
      <c r="R13" s="16">
        <v>45.2</v>
      </c>
      <c r="S13" s="16">
        <v>49.41</v>
      </c>
      <c r="T13" s="16">
        <v>65.859999999999985</v>
      </c>
      <c r="U13" s="16">
        <v>39.300000000000011</v>
      </c>
      <c r="V13" s="16">
        <v>58.329999999999984</v>
      </c>
      <c r="W13" s="16">
        <v>55.710000000000036</v>
      </c>
      <c r="X13" s="16">
        <v>25</v>
      </c>
      <c r="Y13" s="16">
        <v>70.799999999999955</v>
      </c>
      <c r="Z13" s="16">
        <v>44.800000000000068</v>
      </c>
      <c r="AA13" s="16">
        <v>82.5</v>
      </c>
      <c r="AB13" s="15">
        <f t="shared" si="15"/>
        <v>644.20000000000005</v>
      </c>
      <c r="AC13" s="16">
        <v>55</v>
      </c>
      <c r="AD13" s="16">
        <v>48.3</v>
      </c>
      <c r="AE13" s="16">
        <v>64.500000000000014</v>
      </c>
      <c r="AF13" s="16">
        <f>[18]объемы!$AJ$47</f>
        <v>48</v>
      </c>
      <c r="AG13" s="16">
        <f>[19]объемы!$AK$47</f>
        <v>55</v>
      </c>
      <c r="AH13" s="16">
        <v>54.979999999999961</v>
      </c>
      <c r="AI13" s="16">
        <f>[20]объемы!$AM$47</f>
        <v>81.190000000000055</v>
      </c>
      <c r="AJ13" s="16">
        <f>[21]объемы!$AN$47</f>
        <v>75.42999999999995</v>
      </c>
      <c r="AK13" s="16">
        <f>[22]объемы!$AO$47</f>
        <v>51.200000000000045</v>
      </c>
      <c r="AL13" s="16">
        <f>[23]объемы!$AP$47</f>
        <v>31.199999999999932</v>
      </c>
      <c r="AM13" s="16">
        <f>[24]объемы!$AQ$47</f>
        <v>36.300000000000068</v>
      </c>
      <c r="AN13" s="16">
        <f>[25]объемы!$AR$47</f>
        <v>43.100000000000023</v>
      </c>
      <c r="AO13" s="16">
        <f>AB13-O13</f>
        <v>11.490000000000009</v>
      </c>
      <c r="AP13" s="27">
        <f t="shared" si="7"/>
        <v>1.8159978505160355E-2</v>
      </c>
      <c r="AR13" s="31"/>
    </row>
    <row r="14" spans="1:45" x14ac:dyDescent="0.2">
      <c r="A14" s="5" t="s">
        <v>26</v>
      </c>
      <c r="B14" s="30">
        <f>SUM(C14:K14)</f>
        <v>367</v>
      </c>
      <c r="C14" s="16">
        <v>28.3</v>
      </c>
      <c r="D14" s="16">
        <v>40.5</v>
      </c>
      <c r="E14" s="16">
        <v>83.8</v>
      </c>
      <c r="F14" s="16">
        <v>83.3</v>
      </c>
      <c r="G14" s="16">
        <v>67.099999999999994</v>
      </c>
      <c r="H14" s="16">
        <v>28.1</v>
      </c>
      <c r="I14" s="16">
        <v>14.5</v>
      </c>
      <c r="J14" s="16">
        <v>16.7</v>
      </c>
      <c r="K14" s="16">
        <v>4.7</v>
      </c>
      <c r="L14" s="16">
        <v>16.399999999999999</v>
      </c>
      <c r="M14" s="16">
        <v>15</v>
      </c>
      <c r="N14" s="16">
        <v>17.399999999999999</v>
      </c>
      <c r="O14" s="15">
        <f t="shared" si="14"/>
        <v>194.5</v>
      </c>
      <c r="P14" s="16">
        <v>20.6</v>
      </c>
      <c r="Q14" s="16">
        <v>6.2</v>
      </c>
      <c r="R14" s="16">
        <v>18.3</v>
      </c>
      <c r="S14" s="16">
        <v>20.999999999999993</v>
      </c>
      <c r="T14" s="16">
        <v>26.400000000000006</v>
      </c>
      <c r="U14" s="16">
        <v>11.099999999999994</v>
      </c>
      <c r="V14" s="16">
        <v>7.6000000000000085</v>
      </c>
      <c r="W14" s="16">
        <v>0</v>
      </c>
      <c r="X14" s="16">
        <v>9</v>
      </c>
      <c r="Y14" s="16">
        <v>32.399999999999991</v>
      </c>
      <c r="Z14" s="16">
        <v>17.300000000000011</v>
      </c>
      <c r="AA14" s="16">
        <v>24.599999999999994</v>
      </c>
      <c r="AB14" s="15">
        <f t="shared" si="15"/>
        <v>289.71000000000004</v>
      </c>
      <c r="AC14" s="16">
        <v>36.700000000000003</v>
      </c>
      <c r="AD14" s="16">
        <v>26.410000000000004</v>
      </c>
      <c r="AE14" s="16">
        <v>42.800000000000004</v>
      </c>
      <c r="AF14" s="16">
        <f>[18]объемы!$AJ$55</f>
        <v>24.069999999999993</v>
      </c>
      <c r="AG14" s="16">
        <f>[19]объемы!$AK$55</f>
        <v>23.330000000000013</v>
      </c>
      <c r="AH14" s="16">
        <v>34.869999999999976</v>
      </c>
      <c r="AI14" s="16">
        <f>[20]объемы!$AM$55</f>
        <v>25.800000000000011</v>
      </c>
      <c r="AJ14" s="16">
        <f>[21]объемы!$AN$55</f>
        <v>17.830000000000013</v>
      </c>
      <c r="AK14" s="16">
        <f>[22]объемы!$AO$55</f>
        <v>8</v>
      </c>
      <c r="AL14" s="16">
        <f>[23]объемы!$AP$55</f>
        <v>13.699999999999989</v>
      </c>
      <c r="AM14" s="16">
        <f>[24]объемы!$AQ$55</f>
        <v>12.199999999999989</v>
      </c>
      <c r="AN14" s="16">
        <f>[25]объемы!$AR$55</f>
        <v>24</v>
      </c>
      <c r="AO14" s="16">
        <f>AB14-O14</f>
        <v>95.210000000000036</v>
      </c>
      <c r="AP14" s="27">
        <f t="shared" si="7"/>
        <v>0.48951156812339353</v>
      </c>
      <c r="AR14" s="31"/>
    </row>
    <row r="15" spans="1:45" x14ac:dyDescent="0.2">
      <c r="A15" s="4" t="s">
        <v>27</v>
      </c>
      <c r="B15" s="14">
        <f t="shared" ref="B15:O15" si="16">SUM(B16:B22)</f>
        <v>9381.2999999999993</v>
      </c>
      <c r="C15" s="14">
        <f t="shared" si="16"/>
        <v>932.19999999999993</v>
      </c>
      <c r="D15" s="14">
        <f t="shared" si="16"/>
        <v>943.00000000000011</v>
      </c>
      <c r="E15" s="14">
        <f t="shared" si="16"/>
        <v>1495.8000000000002</v>
      </c>
      <c r="F15" s="14">
        <f t="shared" si="16"/>
        <v>1081.5999999999999</v>
      </c>
      <c r="G15" s="14">
        <f t="shared" si="16"/>
        <v>876.09999999999991</v>
      </c>
      <c r="H15" s="14">
        <f t="shared" si="16"/>
        <v>1060.3999999999999</v>
      </c>
      <c r="I15" s="14">
        <f t="shared" si="16"/>
        <v>711.7</v>
      </c>
      <c r="J15" s="14">
        <f t="shared" si="16"/>
        <v>1018.9</v>
      </c>
      <c r="K15" s="14">
        <f t="shared" si="16"/>
        <v>1261.6000000000001</v>
      </c>
      <c r="L15" s="14">
        <f t="shared" si="16"/>
        <v>901.9</v>
      </c>
      <c r="M15" s="14">
        <f t="shared" si="16"/>
        <v>805.1</v>
      </c>
      <c r="N15" s="14">
        <f t="shared" si="16"/>
        <v>757.80000000000007</v>
      </c>
      <c r="O15" s="14">
        <f t="shared" si="16"/>
        <v>8818.9</v>
      </c>
      <c r="P15" s="14">
        <f>SUM(P16:P22)</f>
        <v>439.79999999999995</v>
      </c>
      <c r="Q15" s="14">
        <f t="shared" ref="Q15:V15" si="17">SUM(Q16:Q22)</f>
        <v>485.1</v>
      </c>
      <c r="R15" s="14">
        <f t="shared" si="17"/>
        <v>676.10000000000014</v>
      </c>
      <c r="S15" s="14">
        <f t="shared" si="17"/>
        <v>332.69999999999993</v>
      </c>
      <c r="T15" s="14">
        <f t="shared" si="17"/>
        <v>683.2</v>
      </c>
      <c r="U15" s="14">
        <f t="shared" si="17"/>
        <v>407.7999999999999</v>
      </c>
      <c r="V15" s="14">
        <f t="shared" si="17"/>
        <v>869.30000000000007</v>
      </c>
      <c r="W15" s="14">
        <f t="shared" ref="W15:AE15" si="18">SUM(W16:W22)</f>
        <v>1061.5999999999995</v>
      </c>
      <c r="X15" s="14">
        <f t="shared" si="18"/>
        <v>923.8000000000003</v>
      </c>
      <c r="Y15" s="14">
        <f t="shared" si="18"/>
        <v>966.29999999999984</v>
      </c>
      <c r="Z15" s="14">
        <f t="shared" si="18"/>
        <v>797.19999999999982</v>
      </c>
      <c r="AA15" s="14">
        <f t="shared" si="18"/>
        <v>1176</v>
      </c>
      <c r="AB15" s="14">
        <f t="shared" ref="AB15" si="19">SUM(AB16:AB22)</f>
        <v>12331.27</v>
      </c>
      <c r="AC15" s="14">
        <f t="shared" si="18"/>
        <v>730.3</v>
      </c>
      <c r="AD15" s="14">
        <f t="shared" si="18"/>
        <v>806.17000000000007</v>
      </c>
      <c r="AE15" s="14">
        <f t="shared" si="18"/>
        <v>869.09999999999991</v>
      </c>
      <c r="AF15" s="14">
        <f t="shared" ref="AF15:AN15" si="20">SUM(AF16:AF22)</f>
        <v>1146</v>
      </c>
      <c r="AG15" s="14">
        <f t="shared" si="20"/>
        <v>836.50000000000045</v>
      </c>
      <c r="AH15" s="14">
        <f t="shared" si="20"/>
        <v>533.80999999999983</v>
      </c>
      <c r="AI15" s="14">
        <f t="shared" si="20"/>
        <v>950.92000000000007</v>
      </c>
      <c r="AJ15" s="14">
        <f t="shared" si="20"/>
        <v>1420.3699999999994</v>
      </c>
      <c r="AK15" s="14">
        <f t="shared" si="20"/>
        <v>1356.9000000000005</v>
      </c>
      <c r="AL15" s="14">
        <f t="shared" si="20"/>
        <v>1139</v>
      </c>
      <c r="AM15" s="14">
        <f t="shared" si="20"/>
        <v>1259.7</v>
      </c>
      <c r="AN15" s="14">
        <f t="shared" si="20"/>
        <v>1282.5000000000002</v>
      </c>
      <c r="AO15" s="14">
        <f>AB15-O15</f>
        <v>3512.3700000000008</v>
      </c>
      <c r="AP15" s="26">
        <f t="shared" si="7"/>
        <v>0.39827756296136718</v>
      </c>
      <c r="AR15" s="31"/>
    </row>
    <row r="16" spans="1:45" x14ac:dyDescent="0.2">
      <c r="A16" s="5" t="s">
        <v>28</v>
      </c>
      <c r="B16" s="30">
        <f>SUM(C16:K16)</f>
        <v>6401.8000000000011</v>
      </c>
      <c r="C16" s="16">
        <v>570.29999999999995</v>
      </c>
      <c r="D16" s="16">
        <v>708.6</v>
      </c>
      <c r="E16" s="16">
        <v>1015.2</v>
      </c>
      <c r="F16" s="16">
        <v>802.3</v>
      </c>
      <c r="G16" s="16">
        <v>465.3</v>
      </c>
      <c r="H16" s="16">
        <v>632</v>
      </c>
      <c r="I16" s="16">
        <v>413.5</v>
      </c>
      <c r="J16" s="16">
        <v>743.5</v>
      </c>
      <c r="K16" s="16">
        <v>1051.0999999999999</v>
      </c>
      <c r="L16" s="16">
        <v>650.29999999999995</v>
      </c>
      <c r="M16" s="16">
        <v>526.29999999999995</v>
      </c>
      <c r="N16" s="16">
        <v>384.3</v>
      </c>
      <c r="O16" s="30">
        <f t="shared" si="14"/>
        <v>4065.6</v>
      </c>
      <c r="P16" s="16">
        <v>41.2</v>
      </c>
      <c r="Q16" s="16">
        <v>26.2</v>
      </c>
      <c r="R16" s="16">
        <v>86.699999999999989</v>
      </c>
      <c r="S16" s="16">
        <v>19</v>
      </c>
      <c r="T16" s="16">
        <v>193</v>
      </c>
      <c r="U16" s="16">
        <v>111.79999999999995</v>
      </c>
      <c r="V16" s="16">
        <v>334.3</v>
      </c>
      <c r="W16" s="16">
        <v>787.39999999999986</v>
      </c>
      <c r="X16" s="16">
        <v>693.40000000000009</v>
      </c>
      <c r="Y16" s="16">
        <v>655.89999999999986</v>
      </c>
      <c r="Z16" s="16">
        <v>447.79999999999995</v>
      </c>
      <c r="AA16" s="16">
        <v>668.90000000000009</v>
      </c>
      <c r="AB16" s="30">
        <f t="shared" ref="AB16:AB22" si="21">SUM(AC16:AN16)</f>
        <v>7434.7999999999993</v>
      </c>
      <c r="AC16" s="16">
        <v>377.7</v>
      </c>
      <c r="AD16" s="16">
        <v>472.90000000000003</v>
      </c>
      <c r="AE16" s="16">
        <v>601.5</v>
      </c>
      <c r="AF16" s="16">
        <f>[18]объемы!$AJ$20</f>
        <v>653.08999999999992</v>
      </c>
      <c r="AG16" s="16">
        <f>[19]объемы!$AK$20</f>
        <v>397.4100000000002</v>
      </c>
      <c r="AH16" s="16">
        <v>37.429999999999836</v>
      </c>
      <c r="AI16" s="16">
        <f>[20]объемы!$AM$20</f>
        <v>549.61000000000013</v>
      </c>
      <c r="AJ16" s="16">
        <f>[21]объемы!$AN$20</f>
        <v>984.65999999999963</v>
      </c>
      <c r="AK16" s="16">
        <f>[22]объемы!$AO$20</f>
        <v>962.40000000000055</v>
      </c>
      <c r="AL16" s="16">
        <f>[23]объемы!$AP$20</f>
        <v>794.09999999999991</v>
      </c>
      <c r="AM16" s="16">
        <f>[24]объемы!$AQ$20</f>
        <v>794.09999999999991</v>
      </c>
      <c r="AN16" s="16">
        <f>[25]объемы!$AR$20</f>
        <v>809.90000000000009</v>
      </c>
      <c r="AO16" s="16">
        <f>AB16-O16</f>
        <v>3369.1999999999994</v>
      </c>
      <c r="AP16" s="27">
        <f t="shared" si="7"/>
        <v>0.82870916961826036</v>
      </c>
      <c r="AR16" s="37"/>
    </row>
    <row r="17" spans="1:44" x14ac:dyDescent="0.2">
      <c r="A17" s="5" t="s">
        <v>29</v>
      </c>
      <c r="B17" s="30">
        <f>SUM(C17:K17)</f>
        <v>766</v>
      </c>
      <c r="C17" s="16">
        <v>135.69999999999999</v>
      </c>
      <c r="D17" s="16">
        <v>86.4</v>
      </c>
      <c r="E17" s="16">
        <v>119</v>
      </c>
      <c r="F17" s="16">
        <v>55</v>
      </c>
      <c r="G17" s="16">
        <v>89.7</v>
      </c>
      <c r="H17" s="16">
        <v>81.8</v>
      </c>
      <c r="I17" s="16">
        <v>97.9</v>
      </c>
      <c r="J17" s="16">
        <v>69.7</v>
      </c>
      <c r="K17" s="16">
        <v>30.8</v>
      </c>
      <c r="L17" s="16">
        <v>42</v>
      </c>
      <c r="M17" s="16">
        <v>30.5</v>
      </c>
      <c r="N17" s="16">
        <v>32.6</v>
      </c>
      <c r="O17" s="30">
        <f t="shared" si="14"/>
        <v>835</v>
      </c>
      <c r="P17" s="16">
        <v>75.099999999999994</v>
      </c>
      <c r="Q17" s="16">
        <v>101.5</v>
      </c>
      <c r="R17" s="16">
        <v>81.700000000000017</v>
      </c>
      <c r="S17" s="16">
        <v>41.599999999999966</v>
      </c>
      <c r="T17" s="16">
        <v>83</v>
      </c>
      <c r="U17" s="16">
        <v>60.800000000000011</v>
      </c>
      <c r="V17" s="16">
        <v>59.199999999999989</v>
      </c>
      <c r="W17" s="16">
        <v>38.600000000000023</v>
      </c>
      <c r="X17" s="16">
        <v>53.399999999999977</v>
      </c>
      <c r="Y17" s="16">
        <v>52</v>
      </c>
      <c r="Z17" s="16">
        <v>104.5</v>
      </c>
      <c r="AA17" s="16">
        <v>83.600000000000023</v>
      </c>
      <c r="AB17" s="30">
        <f t="shared" si="21"/>
        <v>794.13000000000011</v>
      </c>
      <c r="AC17" s="16">
        <v>54.4</v>
      </c>
      <c r="AD17" s="16">
        <v>53.13</v>
      </c>
      <c r="AE17" s="16">
        <v>23.900000000000006</v>
      </c>
      <c r="AF17" s="16">
        <f>[18]объемы!$AJ$35</f>
        <v>22.75</v>
      </c>
      <c r="AG17" s="16">
        <f>[19]объемы!$AK$35</f>
        <v>98.85</v>
      </c>
      <c r="AH17" s="16">
        <v>82.699999999999989</v>
      </c>
      <c r="AI17" s="16">
        <f>[20]объемы!$AM$35</f>
        <v>31.579999999999984</v>
      </c>
      <c r="AJ17" s="16">
        <f>[21]объемы!$AN$35</f>
        <v>80.720000000000027</v>
      </c>
      <c r="AK17" s="16">
        <f>[22]объемы!$AO$35</f>
        <v>42.199999999999989</v>
      </c>
      <c r="AL17" s="16">
        <f>[23]объемы!$AP$35</f>
        <v>97.900000000000034</v>
      </c>
      <c r="AM17" s="16">
        <f>[24]объемы!$AQ$35</f>
        <v>84.100000000000023</v>
      </c>
      <c r="AN17" s="16">
        <f>[25]объемы!$AR$35</f>
        <v>121.89999999999998</v>
      </c>
      <c r="AO17" s="16">
        <f>AB17-O17</f>
        <v>-40.869999999999891</v>
      </c>
      <c r="AP17" s="27">
        <f t="shared" si="7"/>
        <v>-4.8946107784431009E-2</v>
      </c>
      <c r="AR17" s="31"/>
    </row>
    <row r="18" spans="1:44" x14ac:dyDescent="0.2">
      <c r="A18" s="5" t="s">
        <v>30</v>
      </c>
      <c r="B18" s="30">
        <f>SUM(C18:K18)</f>
        <v>555.9</v>
      </c>
      <c r="C18" s="16">
        <v>22.8</v>
      </c>
      <c r="D18" s="16">
        <v>0</v>
      </c>
      <c r="E18" s="16">
        <v>86.9</v>
      </c>
      <c r="F18" s="16">
        <v>20.2</v>
      </c>
      <c r="G18" s="16">
        <v>163</v>
      </c>
      <c r="H18" s="16">
        <v>173.1</v>
      </c>
      <c r="I18" s="16">
        <v>45.5</v>
      </c>
      <c r="J18" s="16">
        <v>44.4</v>
      </c>
      <c r="K18" s="16">
        <v>0</v>
      </c>
      <c r="L18" s="16">
        <v>0</v>
      </c>
      <c r="M18" s="16">
        <v>45.9</v>
      </c>
      <c r="N18" s="16">
        <v>41.4</v>
      </c>
      <c r="O18" s="30">
        <f t="shared" si="14"/>
        <v>847.5</v>
      </c>
      <c r="P18" s="16">
        <v>31.3</v>
      </c>
      <c r="Q18" s="16">
        <v>62.4</v>
      </c>
      <c r="R18" s="16">
        <v>148.10000000000002</v>
      </c>
      <c r="S18" s="16">
        <v>77.699999999999989</v>
      </c>
      <c r="T18" s="16">
        <v>118.39999999999998</v>
      </c>
      <c r="U18" s="16">
        <v>23.5</v>
      </c>
      <c r="V18" s="16">
        <v>104</v>
      </c>
      <c r="W18" s="16">
        <v>70.100000000000023</v>
      </c>
      <c r="X18" s="16">
        <v>24.899999999999977</v>
      </c>
      <c r="Y18" s="16">
        <v>64.100000000000023</v>
      </c>
      <c r="Z18" s="16">
        <v>23.899999999999977</v>
      </c>
      <c r="AA18" s="16">
        <v>99.100000000000023</v>
      </c>
      <c r="AB18" s="30">
        <f t="shared" si="21"/>
        <v>1169.8800000000001</v>
      </c>
      <c r="AC18" s="16">
        <v>85.1</v>
      </c>
      <c r="AD18" s="16">
        <v>111.28</v>
      </c>
      <c r="AE18" s="16">
        <v>138.79999999999998</v>
      </c>
      <c r="AF18" s="16">
        <f>[18]объемы!$AJ$37</f>
        <v>136.09000000000003</v>
      </c>
      <c r="AG18" s="16">
        <f>[19]объемы!$AK$37</f>
        <v>92.20999999999998</v>
      </c>
      <c r="AH18" s="16">
        <v>106.52999999999997</v>
      </c>
      <c r="AI18" s="16">
        <f>[20]объемы!$AM$37</f>
        <v>45.430000000000064</v>
      </c>
      <c r="AJ18" s="16">
        <f>[21]объемы!$AN$37</f>
        <v>52.639999999999986</v>
      </c>
      <c r="AK18" s="16">
        <f>[22]объемы!$AO$37</f>
        <v>74.799999999999955</v>
      </c>
      <c r="AL18" s="16">
        <f>[23]объемы!$AP$37</f>
        <v>72.300000000000068</v>
      </c>
      <c r="AM18" s="16">
        <f>[24]объемы!$AQ$37</f>
        <v>87.699999999999932</v>
      </c>
      <c r="AN18" s="16">
        <f>[25]объемы!$AR$37</f>
        <v>167.00000000000011</v>
      </c>
      <c r="AO18" s="16">
        <f>AB18-O18</f>
        <v>322.38000000000011</v>
      </c>
      <c r="AP18" s="27">
        <f t="shared" si="7"/>
        <v>0.3803893805309736</v>
      </c>
      <c r="AR18" s="31"/>
    </row>
    <row r="19" spans="1:44" x14ac:dyDescent="0.2">
      <c r="A19" s="5" t="s">
        <v>31</v>
      </c>
      <c r="B19" s="30">
        <f>SUM(C19:K19)</f>
        <v>1349.0000000000002</v>
      </c>
      <c r="C19" s="16">
        <v>187</v>
      </c>
      <c r="D19" s="16">
        <v>128.19999999999999</v>
      </c>
      <c r="E19" s="16">
        <v>249.5</v>
      </c>
      <c r="F19" s="16">
        <v>167.6</v>
      </c>
      <c r="G19" s="16">
        <v>138.80000000000001</v>
      </c>
      <c r="H19" s="16">
        <v>131.6</v>
      </c>
      <c r="I19" s="16">
        <v>110.7</v>
      </c>
      <c r="J19" s="16">
        <v>121.7</v>
      </c>
      <c r="K19" s="16">
        <v>113.9</v>
      </c>
      <c r="L19" s="16">
        <v>151.6</v>
      </c>
      <c r="M19" s="16">
        <v>92.4</v>
      </c>
      <c r="N19" s="16">
        <v>163.1</v>
      </c>
      <c r="O19" s="30">
        <f t="shared" si="14"/>
        <v>1944</v>
      </c>
      <c r="P19" s="16">
        <v>184.7</v>
      </c>
      <c r="Q19" s="16">
        <v>180</v>
      </c>
      <c r="R19" s="16">
        <v>209.90000000000003</v>
      </c>
      <c r="S19" s="16">
        <v>114</v>
      </c>
      <c r="T19" s="16">
        <v>190.5</v>
      </c>
      <c r="U19" s="16">
        <v>127.89999999999993</v>
      </c>
      <c r="V19" s="16">
        <v>280.7000000000001</v>
      </c>
      <c r="W19" s="16">
        <v>105.49999999999982</v>
      </c>
      <c r="X19" s="16">
        <v>99.300000000000182</v>
      </c>
      <c r="Y19" s="16">
        <v>141.49999999999994</v>
      </c>
      <c r="Z19" s="16">
        <v>140.89999999999992</v>
      </c>
      <c r="AA19" s="16">
        <v>169.10000000000014</v>
      </c>
      <c r="AB19" s="30">
        <f t="shared" si="21"/>
        <v>1692.9799999999998</v>
      </c>
      <c r="AC19" s="16">
        <v>166.5</v>
      </c>
      <c r="AD19" s="16">
        <v>103.57999999999998</v>
      </c>
      <c r="AE19" s="16">
        <v>53</v>
      </c>
      <c r="AF19" s="16">
        <f>[18]объемы!$AJ$33+[18]объемы!$AJ$53</f>
        <v>227.59999999999997</v>
      </c>
      <c r="AG19" s="16">
        <f>[19]объемы!$AK$33+[19]объемы!$AK$53</f>
        <v>123.10000000000009</v>
      </c>
      <c r="AH19" s="16">
        <v>218.18</v>
      </c>
      <c r="AI19" s="16">
        <f>[20]объемы!$AM$33+[20]объемы!$AM$53</f>
        <v>135.23999999999995</v>
      </c>
      <c r="AJ19" s="16">
        <f>[21]объемы!$AN$33+[21]объемы!$AN$53</f>
        <v>182.98000000000008</v>
      </c>
      <c r="AK19" s="16">
        <f>[22]объемы!$AO$53+[22]объемы!$AO$33</f>
        <v>174.6</v>
      </c>
      <c r="AL19" s="16">
        <f>[23]объемы!$AP$33+[23]объемы!$AP$53</f>
        <v>103.99999999999983</v>
      </c>
      <c r="AM19" s="16">
        <f>[24]объемы!$AQ$33+[24]объемы!$AQ$53</f>
        <v>137.5</v>
      </c>
      <c r="AN19" s="16">
        <f>[25]объемы!$AR$33+[25]объемы!$AR$53</f>
        <v>66.700000000000045</v>
      </c>
      <c r="AO19" s="16">
        <f>AB19-O19</f>
        <v>-251.02000000000021</v>
      </c>
      <c r="AP19" s="27">
        <f t="shared" si="7"/>
        <v>-0.12912551440329229</v>
      </c>
      <c r="AQ19" s="29"/>
      <c r="AR19" s="31"/>
    </row>
    <row r="20" spans="1:44" x14ac:dyDescent="0.2">
      <c r="A20" s="5" t="s">
        <v>32</v>
      </c>
      <c r="B20" s="30">
        <f>SUM(C20:K20)</f>
        <v>29.299999999999997</v>
      </c>
      <c r="C20" s="16">
        <v>3.1</v>
      </c>
      <c r="D20" s="16">
        <v>2.6</v>
      </c>
      <c r="E20" s="16">
        <v>2.8</v>
      </c>
      <c r="F20" s="16">
        <v>3.9</v>
      </c>
      <c r="G20" s="16">
        <v>2.2999999999999998</v>
      </c>
      <c r="H20" s="16">
        <v>6.1</v>
      </c>
      <c r="I20" s="16">
        <v>6.1</v>
      </c>
      <c r="J20" s="16">
        <v>0</v>
      </c>
      <c r="K20" s="16">
        <v>2.4</v>
      </c>
      <c r="L20" s="16">
        <v>2.8</v>
      </c>
      <c r="M20" s="16">
        <v>2.7</v>
      </c>
      <c r="N20" s="16">
        <v>2.6</v>
      </c>
      <c r="O20" s="30">
        <f t="shared" si="14"/>
        <v>9.1999999999999993</v>
      </c>
      <c r="P20" s="16">
        <v>0</v>
      </c>
      <c r="Q20" s="16">
        <v>0</v>
      </c>
      <c r="R20" s="16">
        <v>2.6</v>
      </c>
      <c r="S20" s="16">
        <v>0</v>
      </c>
      <c r="T20" s="16">
        <v>0</v>
      </c>
      <c r="U20" s="16">
        <v>0</v>
      </c>
      <c r="V20" s="16">
        <v>0</v>
      </c>
      <c r="W20" s="16">
        <v>2.8000000000000003</v>
      </c>
      <c r="X20" s="16">
        <v>0</v>
      </c>
      <c r="Y20" s="16">
        <v>0</v>
      </c>
      <c r="Z20" s="16">
        <v>0</v>
      </c>
      <c r="AA20" s="16">
        <v>3.7999999999999989</v>
      </c>
      <c r="AB20" s="30">
        <f t="shared" si="21"/>
        <v>0</v>
      </c>
      <c r="AC20" s="16">
        <v>0</v>
      </c>
      <c r="AD20" s="16"/>
      <c r="AE20" s="16">
        <v>0</v>
      </c>
      <c r="AF20" s="16">
        <f>[18]объемы!$AJ$57</f>
        <v>0</v>
      </c>
      <c r="AG20" s="16">
        <f>[19]объемы!$AK$57</f>
        <v>0</v>
      </c>
      <c r="AH20" s="16" t="s">
        <v>0</v>
      </c>
      <c r="AI20" s="16">
        <f>[20]объемы!$AM$57</f>
        <v>0</v>
      </c>
      <c r="AJ20" s="16">
        <v>0</v>
      </c>
      <c r="AK20" s="16"/>
      <c r="AL20" s="16">
        <f>[23]объемы!$AP$57</f>
        <v>0</v>
      </c>
      <c r="AM20" s="16" t="s">
        <v>0</v>
      </c>
      <c r="AN20" s="16" t="s">
        <v>0</v>
      </c>
      <c r="AO20" s="16">
        <f>AB20-O20</f>
        <v>-9.1999999999999993</v>
      </c>
      <c r="AP20" s="27">
        <f t="shared" si="7"/>
        <v>-1</v>
      </c>
      <c r="AR20" s="31"/>
    </row>
    <row r="21" spans="1:44" x14ac:dyDescent="0.2">
      <c r="A21" s="5" t="s">
        <v>33</v>
      </c>
      <c r="B21" s="30">
        <f>SUM(C21:K21)</f>
        <v>216.3</v>
      </c>
      <c r="C21" s="16">
        <v>13.3</v>
      </c>
      <c r="D21" s="16">
        <v>17.2</v>
      </c>
      <c r="E21" s="16">
        <v>22.4</v>
      </c>
      <c r="F21" s="16">
        <v>32.6</v>
      </c>
      <c r="G21" s="16">
        <v>17</v>
      </c>
      <c r="H21" s="16">
        <v>35.799999999999997</v>
      </c>
      <c r="I21" s="16">
        <v>38</v>
      </c>
      <c r="J21" s="16">
        <v>13.8</v>
      </c>
      <c r="K21" s="16">
        <v>26.2</v>
      </c>
      <c r="L21" s="16">
        <v>31</v>
      </c>
      <c r="M21" s="16">
        <v>25.7</v>
      </c>
      <c r="N21" s="16">
        <v>48.7</v>
      </c>
      <c r="O21" s="30">
        <f t="shared" si="14"/>
        <v>214.80000000000004</v>
      </c>
      <c r="P21" s="16">
        <v>16.899999999999999</v>
      </c>
      <c r="Q21" s="16">
        <v>33.799999999999997</v>
      </c>
      <c r="R21" s="16">
        <v>22.400000000000006</v>
      </c>
      <c r="S21" s="16">
        <v>36.199999999999996</v>
      </c>
      <c r="T21" s="16">
        <v>17.100000000000009</v>
      </c>
      <c r="U21" s="16">
        <v>21.299999999999997</v>
      </c>
      <c r="V21" s="16">
        <v>9.7999999999999972</v>
      </c>
      <c r="W21" s="16">
        <v>11.100000000000009</v>
      </c>
      <c r="X21" s="16">
        <v>5.0999999999999943</v>
      </c>
      <c r="Y21" s="16">
        <v>15.700000000000003</v>
      </c>
      <c r="Z21" s="16">
        <v>9.2999999999999972</v>
      </c>
      <c r="AA21" s="16">
        <v>16.099999999999994</v>
      </c>
      <c r="AB21" s="30">
        <f t="shared" si="21"/>
        <v>38.6</v>
      </c>
      <c r="AC21" s="16">
        <v>0</v>
      </c>
      <c r="AD21" s="16">
        <v>3</v>
      </c>
      <c r="AE21" s="16">
        <v>0</v>
      </c>
      <c r="AF21" s="16">
        <f>[18]объемы!$AJ$64</f>
        <v>5.5</v>
      </c>
      <c r="AG21" s="16">
        <f>[19]объемы!$AK$64</f>
        <v>5.5</v>
      </c>
      <c r="AH21" s="16">
        <v>7</v>
      </c>
      <c r="AI21" s="16">
        <f>[20]объемы!$AM$64</f>
        <v>8.5</v>
      </c>
      <c r="AJ21" s="16">
        <f>[21]объемы!$AN$64</f>
        <v>0</v>
      </c>
      <c r="AK21" s="16">
        <f>[22]объемы!$AO$64</f>
        <v>6.2000000000000028</v>
      </c>
      <c r="AL21" s="16">
        <f>[23]объемы!$AP$64</f>
        <v>0</v>
      </c>
      <c r="AM21" s="16">
        <f>[24]объемы!$AQ$64</f>
        <v>2.8999999999999986</v>
      </c>
      <c r="AN21" s="16" t="s">
        <v>0</v>
      </c>
      <c r="AO21" s="16">
        <f>AB21-O21</f>
        <v>-176.20000000000005</v>
      </c>
      <c r="AP21" s="27">
        <f t="shared" si="7"/>
        <v>-0.82029795158286789</v>
      </c>
      <c r="AR21" s="31"/>
    </row>
    <row r="22" spans="1:44" x14ac:dyDescent="0.2">
      <c r="A22" s="5" t="s">
        <v>34</v>
      </c>
      <c r="B22" s="30">
        <f>SUM(C22:K22)</f>
        <v>63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25.8</v>
      </c>
      <c r="K22" s="16">
        <v>37.200000000000003</v>
      </c>
      <c r="L22" s="16">
        <v>24.2</v>
      </c>
      <c r="M22" s="16">
        <v>81.599999999999994</v>
      </c>
      <c r="N22" s="16">
        <v>85.1</v>
      </c>
      <c r="O22" s="30">
        <f t="shared" si="14"/>
        <v>902.8</v>
      </c>
      <c r="P22" s="16">
        <v>90.6</v>
      </c>
      <c r="Q22" s="16">
        <v>81.2</v>
      </c>
      <c r="R22" s="16">
        <v>124.69999999999999</v>
      </c>
      <c r="S22" s="16">
        <v>44.199999999999989</v>
      </c>
      <c r="T22" s="16">
        <v>81.199999999999989</v>
      </c>
      <c r="U22" s="16">
        <v>62.5</v>
      </c>
      <c r="V22" s="16">
        <v>81.300000000000068</v>
      </c>
      <c r="W22" s="16">
        <v>46.099999999999909</v>
      </c>
      <c r="X22" s="16">
        <v>47.700000000000045</v>
      </c>
      <c r="Y22" s="16">
        <v>37.100000000000023</v>
      </c>
      <c r="Z22" s="16">
        <v>70.799999999999955</v>
      </c>
      <c r="AA22" s="16">
        <v>135.39999999999998</v>
      </c>
      <c r="AB22" s="30">
        <f t="shared" si="21"/>
        <v>1200.8800000000001</v>
      </c>
      <c r="AC22" s="16">
        <v>46.6</v>
      </c>
      <c r="AD22" s="16">
        <v>62.280000000000008</v>
      </c>
      <c r="AE22" s="16">
        <v>51.900000000000006</v>
      </c>
      <c r="AF22" s="16">
        <f>[18]объемы!$AJ$62</f>
        <v>100.96999999999997</v>
      </c>
      <c r="AG22" s="16">
        <f>[19]объемы!$AK$62</f>
        <v>119.43</v>
      </c>
      <c r="AH22" s="16">
        <v>81.970000000000027</v>
      </c>
      <c r="AI22" s="16">
        <f>[20]объемы!$AM$62</f>
        <v>180.56</v>
      </c>
      <c r="AJ22" s="16">
        <f>[21]объемы!$AN$62</f>
        <v>119.37</v>
      </c>
      <c r="AK22" s="16">
        <f>[22]объемы!$AO$62</f>
        <v>96.699999999999932</v>
      </c>
      <c r="AL22" s="16">
        <f>[23]объемы!$AP$62</f>
        <v>70.700000000000045</v>
      </c>
      <c r="AM22" s="16">
        <f>[24]объемы!$AQ$62</f>
        <v>153.40000000000009</v>
      </c>
      <c r="AN22" s="16">
        <f>[25]объемы!$AR$62</f>
        <v>117</v>
      </c>
      <c r="AO22" s="16">
        <f>AB22-O22</f>
        <v>298.08000000000015</v>
      </c>
      <c r="AP22" s="27">
        <f t="shared" si="7"/>
        <v>0.33017279574656644</v>
      </c>
      <c r="AR22" s="31"/>
    </row>
    <row r="23" spans="1:44" x14ac:dyDescent="0.2">
      <c r="A23" s="4" t="s">
        <v>35</v>
      </c>
      <c r="B23" s="14">
        <f>SUM(B24:B29)-B26</f>
        <v>8171.1999999999989</v>
      </c>
      <c r="C23" s="14">
        <f t="shared" ref="C23:J23" si="22">SUM(C24:C29)-C26</f>
        <v>849.29999999999984</v>
      </c>
      <c r="D23" s="14">
        <f t="shared" si="22"/>
        <v>877.2</v>
      </c>
      <c r="E23" s="14">
        <f t="shared" si="22"/>
        <v>1076</v>
      </c>
      <c r="F23" s="14">
        <f t="shared" si="22"/>
        <v>924.00000000000011</v>
      </c>
      <c r="G23" s="14">
        <f t="shared" si="22"/>
        <v>1012.4</v>
      </c>
      <c r="H23" s="14">
        <f t="shared" si="22"/>
        <v>1099.9000000000001</v>
      </c>
      <c r="I23" s="14">
        <f t="shared" si="22"/>
        <v>762.09999999999991</v>
      </c>
      <c r="J23" s="14">
        <f t="shared" si="22"/>
        <v>701.8</v>
      </c>
      <c r="K23" s="14">
        <f t="shared" ref="K23:Q23" si="23">SUM(K24:K29)-K26</f>
        <v>868.49999999999989</v>
      </c>
      <c r="L23" s="14">
        <f t="shared" si="23"/>
        <v>906.39999999999986</v>
      </c>
      <c r="M23" s="14">
        <f t="shared" si="23"/>
        <v>891.40000000000009</v>
      </c>
      <c r="N23" s="14">
        <f t="shared" si="23"/>
        <v>897.4</v>
      </c>
      <c r="O23" s="14">
        <f>SUM(O24:O29)-O26</f>
        <v>10571.9</v>
      </c>
      <c r="P23" s="14">
        <f t="shared" si="23"/>
        <v>982.00000000000011</v>
      </c>
      <c r="Q23" s="14">
        <f t="shared" si="23"/>
        <v>1002.9</v>
      </c>
      <c r="R23" s="14">
        <f t="shared" ref="R23:X23" si="24">SUM(R24:R29)-R26</f>
        <v>1120.4000000000003</v>
      </c>
      <c r="S23" s="14">
        <f t="shared" si="24"/>
        <v>733.36</v>
      </c>
      <c r="T23" s="14">
        <f t="shared" si="24"/>
        <v>893.44000000000017</v>
      </c>
      <c r="U23" s="14">
        <f t="shared" si="24"/>
        <v>845</v>
      </c>
      <c r="V23" s="14">
        <f t="shared" si="24"/>
        <v>774.40000000000009</v>
      </c>
      <c r="W23" s="14">
        <f t="shared" si="24"/>
        <v>814.1999999999997</v>
      </c>
      <c r="X23" s="14">
        <f t="shared" si="24"/>
        <v>919.99999999999989</v>
      </c>
      <c r="Y23" s="14">
        <f t="shared" ref="Y23:AD23" si="25">SUM(Y24:Y29)-Y26</f>
        <v>633.90000000000032</v>
      </c>
      <c r="Z23" s="14">
        <f t="shared" si="25"/>
        <v>947.7</v>
      </c>
      <c r="AA23" s="14">
        <f t="shared" si="25"/>
        <v>904.59999999999991</v>
      </c>
      <c r="AB23" s="14">
        <f>SUM(AB24:AB29)-AB26</f>
        <v>11846.829999999998</v>
      </c>
      <c r="AC23" s="14">
        <f t="shared" si="25"/>
        <v>989.80000000000018</v>
      </c>
      <c r="AD23" s="14">
        <f t="shared" si="25"/>
        <v>940.03000000000009</v>
      </c>
      <c r="AE23" s="14">
        <f t="shared" ref="AE23:AN23" si="26">SUM(AE24:AE29)-AE26</f>
        <v>1034.6000000000001</v>
      </c>
      <c r="AF23" s="14">
        <f>SUM(AF24:AF29)-AF26</f>
        <v>983.70100000000002</v>
      </c>
      <c r="AG23" s="14">
        <f t="shared" si="26"/>
        <v>1157.0990000000002</v>
      </c>
      <c r="AH23" s="14">
        <f t="shared" si="26"/>
        <v>915.49000000000012</v>
      </c>
      <c r="AI23" s="14">
        <f t="shared" si="26"/>
        <v>940.83</v>
      </c>
      <c r="AJ23" s="14">
        <f t="shared" si="26"/>
        <v>1082.98</v>
      </c>
      <c r="AK23" s="14">
        <f t="shared" si="26"/>
        <v>853.50000000000011</v>
      </c>
      <c r="AL23" s="14">
        <f>SUM(AL24:AL29)-AL26</f>
        <v>886.20000000000016</v>
      </c>
      <c r="AM23" s="14">
        <f t="shared" si="26"/>
        <v>1057.5999999999999</v>
      </c>
      <c r="AN23" s="14">
        <f t="shared" si="26"/>
        <v>1004.9999999999991</v>
      </c>
      <c r="AO23" s="14">
        <f>AB23-O23</f>
        <v>1274.9299999999985</v>
      </c>
      <c r="AP23" s="26">
        <f t="shared" si="7"/>
        <v>0.12059610855191578</v>
      </c>
      <c r="AR23" s="31"/>
    </row>
    <row r="24" spans="1:44" x14ac:dyDescent="0.2">
      <c r="A24" s="5" t="s">
        <v>36</v>
      </c>
      <c r="B24" s="30">
        <f>SUM(C24:K24)</f>
        <v>6543.7</v>
      </c>
      <c r="C24" s="16">
        <v>722.8</v>
      </c>
      <c r="D24" s="16">
        <v>727.1</v>
      </c>
      <c r="E24" s="16">
        <v>842.9</v>
      </c>
      <c r="F24" s="16">
        <v>747.1</v>
      </c>
      <c r="G24" s="16">
        <v>805.2</v>
      </c>
      <c r="H24" s="16">
        <v>895.4</v>
      </c>
      <c r="I24" s="16">
        <v>585.79999999999995</v>
      </c>
      <c r="J24" s="16">
        <v>529</v>
      </c>
      <c r="K24" s="16">
        <v>688.4</v>
      </c>
      <c r="L24" s="16">
        <v>684.9</v>
      </c>
      <c r="M24" s="16">
        <v>699.7</v>
      </c>
      <c r="N24" s="16">
        <v>723.8</v>
      </c>
      <c r="O24" s="30">
        <f t="shared" si="14"/>
        <v>8554.2999999999993</v>
      </c>
      <c r="P24" s="16">
        <v>801.40000000000009</v>
      </c>
      <c r="Q24" s="16">
        <v>825.2</v>
      </c>
      <c r="R24" s="16">
        <v>941.6</v>
      </c>
      <c r="S24" s="16">
        <v>557.6</v>
      </c>
      <c r="T24" s="16">
        <v>702.2</v>
      </c>
      <c r="U24" s="16">
        <v>679.7</v>
      </c>
      <c r="V24" s="16">
        <v>636.90000000000009</v>
      </c>
      <c r="W24" s="16">
        <v>680.99999999999977</v>
      </c>
      <c r="X24" s="16">
        <v>745.2</v>
      </c>
      <c r="Y24" s="16">
        <v>493.50000000000034</v>
      </c>
      <c r="Z24" s="16">
        <v>770.80000000000007</v>
      </c>
      <c r="AA24" s="16">
        <v>719.19999999999982</v>
      </c>
      <c r="AB24" s="30">
        <f t="shared" ref="AB24:AB29" si="27">SUM(AC24:AN24)</f>
        <v>9546.5999999999985</v>
      </c>
      <c r="AC24" s="16">
        <v>842.1</v>
      </c>
      <c r="AD24" s="30">
        <v>819.2</v>
      </c>
      <c r="AE24" s="16">
        <v>866.40000000000009</v>
      </c>
      <c r="AF24" s="16">
        <f>[18]объемы!$AJ$25+[18]объемы!$AJ$45</f>
        <v>774.83999999999992</v>
      </c>
      <c r="AG24" s="16">
        <f>[19]объемы!$AK$25+[19]объемы!$AK$45</f>
        <v>921.76</v>
      </c>
      <c r="AH24" s="16">
        <v>706.27000000000021</v>
      </c>
      <c r="AI24" s="16">
        <f>[20]объемы!$AM$25+[20]объемы!$AM$45</f>
        <v>746.81999999999994</v>
      </c>
      <c r="AJ24" s="16">
        <f>[21]объемы!$AN$25+[21]объемы!$AN$45</f>
        <v>902.91000000000008</v>
      </c>
      <c r="AK24" s="16">
        <f>[22]объемы!$AO$45+[22]объемы!$AO$25</f>
        <v>644.80000000000018</v>
      </c>
      <c r="AL24" s="16">
        <f>[23]объемы!$AP$25+[23]объемы!$AP$45</f>
        <v>705.30000000000018</v>
      </c>
      <c r="AM24" s="16">
        <f>[24]объемы!$AQ$25+[24]объемы!$AQ$45</f>
        <v>815.59999999999968</v>
      </c>
      <c r="AN24" s="16">
        <f>[25]объемы!$AR$25+[25]объемы!$AR$45</f>
        <v>800.59999999999923</v>
      </c>
      <c r="AO24" s="16">
        <f>AB24-O24</f>
        <v>992.29999999999927</v>
      </c>
      <c r="AP24" s="27">
        <f t="shared" si="7"/>
        <v>0.11600014028032678</v>
      </c>
      <c r="AR24" s="31"/>
    </row>
    <row r="25" spans="1:44" x14ac:dyDescent="0.2">
      <c r="A25" s="5" t="s">
        <v>37</v>
      </c>
      <c r="B25" s="30">
        <f>SUM(C25:K25)</f>
        <v>545</v>
      </c>
      <c r="C25" s="16">
        <v>26.8</v>
      </c>
      <c r="D25" s="16">
        <v>44</v>
      </c>
      <c r="E25" s="16">
        <v>82.6</v>
      </c>
      <c r="F25" s="16">
        <v>63.3</v>
      </c>
      <c r="G25" s="16">
        <v>65</v>
      </c>
      <c r="H25" s="16">
        <v>62.6</v>
      </c>
      <c r="I25" s="16">
        <v>69.5</v>
      </c>
      <c r="J25" s="16">
        <v>62.8</v>
      </c>
      <c r="K25" s="16">
        <v>68.400000000000006</v>
      </c>
      <c r="L25" s="16">
        <v>78.900000000000006</v>
      </c>
      <c r="M25" s="16">
        <v>53.1</v>
      </c>
      <c r="N25" s="16">
        <v>53</v>
      </c>
      <c r="O25" s="30">
        <f t="shared" si="14"/>
        <v>457.9</v>
      </c>
      <c r="P25" s="16">
        <v>48.9</v>
      </c>
      <c r="Q25" s="16">
        <v>39.4</v>
      </c>
      <c r="R25" s="16">
        <v>41.500000000000014</v>
      </c>
      <c r="S25" s="16">
        <v>38.639999999999986</v>
      </c>
      <c r="T25" s="16">
        <v>40.960000000000008</v>
      </c>
      <c r="U25" s="16">
        <v>35.799999999999983</v>
      </c>
      <c r="V25" s="16">
        <v>32</v>
      </c>
      <c r="W25" s="16">
        <v>34.5</v>
      </c>
      <c r="X25" s="16">
        <v>32.300000000000011</v>
      </c>
      <c r="Y25" s="16">
        <v>41.5</v>
      </c>
      <c r="Z25" s="16">
        <v>40.399999999999977</v>
      </c>
      <c r="AA25" s="16">
        <v>32</v>
      </c>
      <c r="AB25" s="30">
        <f t="shared" si="27"/>
        <v>626</v>
      </c>
      <c r="AC25" s="16">
        <v>43.6</v>
      </c>
      <c r="AD25" s="16">
        <v>31.999999999999993</v>
      </c>
      <c r="AE25" s="16">
        <v>47</v>
      </c>
      <c r="AF25" s="16">
        <f>[18]объемы!$AJ$43</f>
        <v>62</v>
      </c>
      <c r="AG25" s="16">
        <f>[19]объемы!$AK$43</f>
        <v>60.700000000000017</v>
      </c>
      <c r="AH25" s="16">
        <v>72.099999999999966</v>
      </c>
      <c r="AI25" s="16">
        <f>[20]объемы!$AM$43</f>
        <v>48.400000000000034</v>
      </c>
      <c r="AJ25" s="16">
        <f>[21]объемы!$AN$43</f>
        <v>64.599999999999966</v>
      </c>
      <c r="AK25" s="16">
        <f>[22]объемы!$AO$43</f>
        <v>56.600000000000023</v>
      </c>
      <c r="AL25" s="16">
        <f>[23]объемы!$AP$43</f>
        <v>48.600000000000023</v>
      </c>
      <c r="AM25" s="16">
        <f>[24]объемы!$AQ$43</f>
        <v>53.5</v>
      </c>
      <c r="AN25" s="16">
        <f>[25]объемы!$AR$43</f>
        <v>36.899999999999977</v>
      </c>
      <c r="AO25" s="16">
        <f>AB25-O25</f>
        <v>168.10000000000002</v>
      </c>
      <c r="AP25" s="27">
        <f t="shared" si="7"/>
        <v>0.36711072286525448</v>
      </c>
      <c r="AR25" s="31"/>
    </row>
    <row r="26" spans="1:44" x14ac:dyDescent="0.2">
      <c r="A26" s="8" t="s">
        <v>38</v>
      </c>
      <c r="B26" s="30">
        <f>SUM(C26:K26)</f>
        <v>987.40000000000009</v>
      </c>
      <c r="C26" s="15">
        <v>48.7</v>
      </c>
      <c r="D26" s="15">
        <v>80</v>
      </c>
      <c r="E26" s="15">
        <v>150.19999999999999</v>
      </c>
      <c r="F26" s="15">
        <v>114.6</v>
      </c>
      <c r="G26" s="15">
        <v>115.9</v>
      </c>
      <c r="H26" s="15">
        <v>113.1</v>
      </c>
      <c r="I26" s="15">
        <v>126.2</v>
      </c>
      <c r="J26" s="15">
        <v>114.2</v>
      </c>
      <c r="K26" s="15">
        <v>124.5</v>
      </c>
      <c r="L26" s="15">
        <v>139.30000000000001</v>
      </c>
      <c r="M26" s="15">
        <v>96.5</v>
      </c>
      <c r="N26" s="15">
        <v>96.3</v>
      </c>
      <c r="O26" s="30">
        <f t="shared" si="14"/>
        <v>832.1</v>
      </c>
      <c r="P26" s="15">
        <v>88.9</v>
      </c>
      <c r="Q26" s="15">
        <v>71.599999999999994</v>
      </c>
      <c r="R26" s="15">
        <v>75.599999999999994</v>
      </c>
      <c r="S26" s="15">
        <v>70.099999999999994</v>
      </c>
      <c r="T26" s="15">
        <v>74.5</v>
      </c>
      <c r="U26" s="15">
        <v>64.699999999999989</v>
      </c>
      <c r="V26" s="15">
        <v>58.200000000000045</v>
      </c>
      <c r="W26" s="15">
        <v>62.699999999999932</v>
      </c>
      <c r="X26" s="15">
        <v>58.800000000000068</v>
      </c>
      <c r="Y26" s="15">
        <v>75.5</v>
      </c>
      <c r="Z26" s="15">
        <v>73.399999999999977</v>
      </c>
      <c r="AA26" s="15">
        <v>58.100000000000023</v>
      </c>
      <c r="AB26" s="15">
        <f t="shared" si="27"/>
        <v>1138.0999999999999</v>
      </c>
      <c r="AC26" s="15">
        <v>79.3</v>
      </c>
      <c r="AD26" s="15">
        <v>58.100000000000009</v>
      </c>
      <c r="AE26" s="15">
        <v>85.5</v>
      </c>
      <c r="AF26" s="15">
        <f>[18]объемы!$AJ$83</f>
        <v>112.70000000000002</v>
      </c>
      <c r="AG26" s="15">
        <f>[19]объемы!$AK$83</f>
        <v>110.39999999999998</v>
      </c>
      <c r="AH26" s="15">
        <v>131.10000000000002</v>
      </c>
      <c r="AI26" s="15">
        <f>[20]объемы!$AM$83</f>
        <v>87.899999999999977</v>
      </c>
      <c r="AJ26" s="15">
        <f>[21]объемы!$AN$83</f>
        <v>117.60000000000002</v>
      </c>
      <c r="AK26" s="15">
        <f>[22]объемы!$AO$83</f>
        <v>102.79999999999995</v>
      </c>
      <c r="AL26" s="15">
        <f>[23]объемы!$AP$83</f>
        <v>88.300000000000068</v>
      </c>
      <c r="AM26" s="15">
        <f>[24]объемы!$AQ$82</f>
        <v>97.299999999999955</v>
      </c>
      <c r="AN26" s="15">
        <f>[25]объемы!$AR$82</f>
        <v>67.099999999999909</v>
      </c>
      <c r="AO26" s="16">
        <f>AB26-O26</f>
        <v>305.99999999999989</v>
      </c>
      <c r="AP26" s="27">
        <f t="shared" si="7"/>
        <v>0.36774426150703027</v>
      </c>
      <c r="AR26" s="31"/>
    </row>
    <row r="27" spans="1:44" x14ac:dyDescent="0.2">
      <c r="A27" s="5" t="s">
        <v>39</v>
      </c>
      <c r="B27" s="30">
        <f>SUM(C27:K27)</f>
        <v>830.4</v>
      </c>
      <c r="C27" s="16">
        <v>82.4</v>
      </c>
      <c r="D27" s="16">
        <v>87.7</v>
      </c>
      <c r="E27" s="16">
        <v>113.8</v>
      </c>
      <c r="F27" s="16">
        <v>96.8</v>
      </c>
      <c r="G27" s="16">
        <v>102.2</v>
      </c>
      <c r="H27" s="16">
        <v>92.3</v>
      </c>
      <c r="I27" s="16">
        <v>70.400000000000006</v>
      </c>
      <c r="J27" s="16">
        <v>96</v>
      </c>
      <c r="K27" s="16">
        <v>88.8</v>
      </c>
      <c r="L27" s="16">
        <v>100.4</v>
      </c>
      <c r="M27" s="16">
        <v>90.2</v>
      </c>
      <c r="N27" s="16">
        <v>71.599999999999994</v>
      </c>
      <c r="O27" s="30">
        <f t="shared" si="14"/>
        <v>1042.0999999999999</v>
      </c>
      <c r="P27" s="16">
        <v>100.9</v>
      </c>
      <c r="Q27" s="16">
        <v>98.3</v>
      </c>
      <c r="R27" s="16">
        <v>94.699999999999989</v>
      </c>
      <c r="S27" s="16">
        <v>73.11999999999999</v>
      </c>
      <c r="T27" s="16">
        <v>92.380000000000024</v>
      </c>
      <c r="U27" s="16">
        <v>81</v>
      </c>
      <c r="V27" s="16">
        <v>77.200000000000017</v>
      </c>
      <c r="W27" s="16">
        <v>79</v>
      </c>
      <c r="X27" s="16">
        <v>122.69999999999999</v>
      </c>
      <c r="Y27" s="16">
        <v>57.600000000000023</v>
      </c>
      <c r="Z27" s="16">
        <v>72.399999999999977</v>
      </c>
      <c r="AA27" s="16">
        <v>92.800000000000011</v>
      </c>
      <c r="AB27" s="30">
        <f t="shared" si="27"/>
        <v>1027.72</v>
      </c>
      <c r="AC27" s="16">
        <v>68</v>
      </c>
      <c r="AD27" s="16">
        <v>61.819999999999993</v>
      </c>
      <c r="AE27" s="16">
        <v>80.5</v>
      </c>
      <c r="AF27" s="16">
        <f>[18]объемы!$AJ$39</f>
        <v>102.69</v>
      </c>
      <c r="AG27" s="16">
        <f>[19]объемы!$AK$39</f>
        <v>115.51000000000002</v>
      </c>
      <c r="AH27" s="16">
        <v>84.19999999999996</v>
      </c>
      <c r="AI27" s="16">
        <f>[20]объемы!$AM$39</f>
        <v>88.980000000000032</v>
      </c>
      <c r="AJ27" s="16">
        <f>[21]объемы!$AN$39</f>
        <v>75.720000000000041</v>
      </c>
      <c r="AK27" s="16">
        <f>[22]объемы!$AO$39</f>
        <v>97.499999999999957</v>
      </c>
      <c r="AL27" s="16">
        <f>[23]объемы!$AP$39</f>
        <v>72.399999999999977</v>
      </c>
      <c r="AM27" s="16">
        <f>[24]объемы!$AQ$39</f>
        <v>98.300000000000068</v>
      </c>
      <c r="AN27" s="16">
        <f>[25]объемы!$AR$39</f>
        <v>82.099999999999937</v>
      </c>
      <c r="AO27" s="16">
        <f>AB27-O27</f>
        <v>-14.379999999999882</v>
      </c>
      <c r="AP27" s="27">
        <f t="shared" si="7"/>
        <v>-1.3799059591209945E-2</v>
      </c>
      <c r="AR27" s="37"/>
    </row>
    <row r="28" spans="1:44" x14ac:dyDescent="0.2">
      <c r="A28" s="5" t="s">
        <v>40</v>
      </c>
      <c r="B28" s="30">
        <f>SUM(C28:K28)</f>
        <v>153.79999999999998</v>
      </c>
      <c r="C28" s="16">
        <v>7.4</v>
      </c>
      <c r="D28" s="16">
        <v>9.9</v>
      </c>
      <c r="E28" s="16">
        <v>20.5</v>
      </c>
      <c r="F28" s="16">
        <v>8.9</v>
      </c>
      <c r="G28" s="16">
        <v>26.4</v>
      </c>
      <c r="H28" s="16">
        <v>40.9</v>
      </c>
      <c r="I28" s="16">
        <v>28.1</v>
      </c>
      <c r="J28" s="16">
        <v>3.6</v>
      </c>
      <c r="K28" s="16">
        <v>8.1</v>
      </c>
      <c r="L28" s="16">
        <v>19.899999999999999</v>
      </c>
      <c r="M28" s="16">
        <v>31.8</v>
      </c>
      <c r="N28" s="16">
        <v>35.9</v>
      </c>
      <c r="O28" s="30">
        <f t="shared" si="14"/>
        <v>319.70000000000005</v>
      </c>
      <c r="P28" s="16">
        <v>18.600000000000001</v>
      </c>
      <c r="Q28" s="16">
        <v>29.7</v>
      </c>
      <c r="R28" s="16">
        <v>27.199999999999996</v>
      </c>
      <c r="S28" s="16">
        <v>30.799999999999997</v>
      </c>
      <c r="T28" s="16">
        <v>33.699999999999996</v>
      </c>
      <c r="U28" s="16">
        <v>22.900000000000009</v>
      </c>
      <c r="V28" s="16">
        <v>14.399999999999999</v>
      </c>
      <c r="W28" s="16">
        <v>9.7999999999999972</v>
      </c>
      <c r="X28" s="16">
        <v>12.499999999999996</v>
      </c>
      <c r="Y28" s="16">
        <v>32.800000000000004</v>
      </c>
      <c r="Z28" s="16">
        <v>44.099999999999994</v>
      </c>
      <c r="AA28" s="16">
        <v>43.200000000000024</v>
      </c>
      <c r="AB28" s="30">
        <f t="shared" si="27"/>
        <v>291.39000000000004</v>
      </c>
      <c r="AC28" s="16">
        <v>24.2</v>
      </c>
      <c r="AD28" s="16">
        <v>18.290000000000003</v>
      </c>
      <c r="AE28" s="16">
        <v>31.7</v>
      </c>
      <c r="AF28" s="16">
        <f>[18]объемы!$AJ$49</f>
        <v>33.299999999999997</v>
      </c>
      <c r="AG28" s="16">
        <f>[19]объемы!$AK$49</f>
        <v>45.2</v>
      </c>
      <c r="AH28" s="16">
        <v>31.019999999999985</v>
      </c>
      <c r="AI28" s="16">
        <f>[20]объемы!$AM$49</f>
        <v>16.340000000000011</v>
      </c>
      <c r="AJ28" s="16">
        <f>[21]объемы!$AN$49</f>
        <v>11.339999999999996</v>
      </c>
      <c r="AK28" s="16">
        <f>[22]объемы!$AO$49</f>
        <v>11.800000000000004</v>
      </c>
      <c r="AL28" s="16">
        <f>[23]объемы!$AP$49</f>
        <v>14.900000000000006</v>
      </c>
      <c r="AM28" s="16">
        <f>[24]объемы!$AQ$49</f>
        <v>20</v>
      </c>
      <c r="AN28" s="16">
        <f>[25]объемы!$AR$49</f>
        <v>33.299999999999997</v>
      </c>
      <c r="AO28" s="16">
        <f>AB28-O28</f>
        <v>-28.310000000000002</v>
      </c>
      <c r="AP28" s="27">
        <f t="shared" si="7"/>
        <v>-8.8551767281826704E-2</v>
      </c>
      <c r="AR28" s="31"/>
    </row>
    <row r="29" spans="1:44" x14ac:dyDescent="0.2">
      <c r="A29" s="5" t="s">
        <v>41</v>
      </c>
      <c r="B29" s="30">
        <f>SUM(C29:K29)</f>
        <v>98.3</v>
      </c>
      <c r="C29" s="16">
        <v>9.9</v>
      </c>
      <c r="D29" s="16">
        <v>8.5</v>
      </c>
      <c r="E29" s="16">
        <v>16.2</v>
      </c>
      <c r="F29" s="16">
        <v>7.9</v>
      </c>
      <c r="G29" s="16">
        <v>13.6</v>
      </c>
      <c r="H29" s="16">
        <v>8.6999999999999993</v>
      </c>
      <c r="I29" s="16">
        <v>8.3000000000000007</v>
      </c>
      <c r="J29" s="16">
        <v>10.4</v>
      </c>
      <c r="K29" s="16">
        <v>14.8</v>
      </c>
      <c r="L29" s="16">
        <v>22.3</v>
      </c>
      <c r="M29" s="16">
        <v>16.600000000000001</v>
      </c>
      <c r="N29" s="16">
        <v>13.1</v>
      </c>
      <c r="O29" s="30">
        <f t="shared" si="14"/>
        <v>197.90000000000003</v>
      </c>
      <c r="P29" s="16">
        <v>12.2</v>
      </c>
      <c r="Q29" s="16">
        <v>10.3</v>
      </c>
      <c r="R29" s="16">
        <v>15.399999999999999</v>
      </c>
      <c r="S29" s="16">
        <v>33.199999999999996</v>
      </c>
      <c r="T29" s="16">
        <v>24.2</v>
      </c>
      <c r="U29" s="16">
        <v>25.6</v>
      </c>
      <c r="V29" s="16">
        <v>13.9</v>
      </c>
      <c r="W29" s="16">
        <v>9.899999999999995</v>
      </c>
      <c r="X29" s="16">
        <v>7.3000000000000025</v>
      </c>
      <c r="Y29" s="16">
        <v>8.4999999999999982</v>
      </c>
      <c r="Z29" s="16">
        <v>20</v>
      </c>
      <c r="AA29" s="16">
        <v>17.400000000000002</v>
      </c>
      <c r="AB29" s="30">
        <f t="shared" si="27"/>
        <v>355.12</v>
      </c>
      <c r="AC29" s="16">
        <v>11.9</v>
      </c>
      <c r="AD29" s="16">
        <v>8.7199999999999989</v>
      </c>
      <c r="AE29" s="16">
        <v>9</v>
      </c>
      <c r="AF29" s="16">
        <f>[18]объемы!$AJ$67+[18]объемы!$AJ$69+[18]объемы!$AJ$74</f>
        <v>10.871000000000034</v>
      </c>
      <c r="AG29" s="16">
        <f>[19]объемы!$AK$67+[19]объемы!$AK$69+[19]объемы!$AK$74</f>
        <v>13.928999999999967</v>
      </c>
      <c r="AH29" s="16">
        <v>21.900000000000002</v>
      </c>
      <c r="AI29" s="16">
        <f>[20]объемы!$AM$67+[20]объемы!$AM$69+[20]объемы!$AM$74</f>
        <v>40.29</v>
      </c>
      <c r="AJ29" s="16">
        <f>[21]объемы!$AN$67+[21]объемы!$AN$69+[21]объемы!$AN$74</f>
        <v>28.409999999999997</v>
      </c>
      <c r="AK29" s="16">
        <f>[22]объемы!$AO$74+[22]объемы!$AO$69+[22]объемы!$AO$67</f>
        <v>42.8</v>
      </c>
      <c r="AL29" s="16">
        <f>[23]объемы!$AP$69+[23]объемы!$AP$74</f>
        <v>45.000000000000007</v>
      </c>
      <c r="AM29" s="16">
        <f>[24]объемы!$AQ$74+[24]объемы!$AQ$69+[24]объемы!$AQ$67</f>
        <v>70.2</v>
      </c>
      <c r="AN29" s="16">
        <f>[25]объемы!$AR$74+[25]объемы!$AR$69</f>
        <v>52.099999999999994</v>
      </c>
      <c r="AO29" s="16">
        <f>AB29-O29</f>
        <v>157.21999999999997</v>
      </c>
      <c r="AP29" s="27">
        <f t="shared" si="7"/>
        <v>0.79444163719049998</v>
      </c>
      <c r="AR29" s="31"/>
    </row>
    <row r="30" spans="1:44" x14ac:dyDescent="0.2">
      <c r="A30" s="4" t="s">
        <v>42</v>
      </c>
      <c r="B30" s="14">
        <f>B31</f>
        <v>3815.2999999999997</v>
      </c>
      <c r="C30" s="14">
        <f t="shared" ref="C30:N30" si="28">C31</f>
        <v>348.4</v>
      </c>
      <c r="D30" s="14">
        <f t="shared" si="28"/>
        <v>407.5</v>
      </c>
      <c r="E30" s="14">
        <f t="shared" si="28"/>
        <v>471.5</v>
      </c>
      <c r="F30" s="14">
        <f t="shared" si="28"/>
        <v>489.9</v>
      </c>
      <c r="G30" s="14">
        <f t="shared" si="28"/>
        <v>443.4</v>
      </c>
      <c r="H30" s="14">
        <f t="shared" si="28"/>
        <v>462.70000000000005</v>
      </c>
      <c r="I30" s="14">
        <f t="shared" si="28"/>
        <v>405</v>
      </c>
      <c r="J30" s="14">
        <f t="shared" si="28"/>
        <v>393.4</v>
      </c>
      <c r="K30" s="14">
        <f t="shared" si="28"/>
        <v>393.5</v>
      </c>
      <c r="L30" s="14">
        <f t="shared" si="28"/>
        <v>382.4</v>
      </c>
      <c r="M30" s="14">
        <f t="shared" si="28"/>
        <v>448.70000000000005</v>
      </c>
      <c r="N30" s="14">
        <f t="shared" si="28"/>
        <v>440.8</v>
      </c>
      <c r="O30" s="14">
        <f>O31</f>
        <v>4822.8547819999994</v>
      </c>
      <c r="P30" s="14">
        <f t="shared" ref="P30:AA30" si="29">P31</f>
        <v>394.354782</v>
      </c>
      <c r="Q30" s="14">
        <f t="shared" si="29"/>
        <v>392.6</v>
      </c>
      <c r="R30" s="14">
        <f t="shared" si="29"/>
        <v>446.5</v>
      </c>
      <c r="S30" s="14">
        <f t="shared" si="29"/>
        <v>424.19999999999993</v>
      </c>
      <c r="T30" s="14">
        <f t="shared" si="29"/>
        <v>434.5</v>
      </c>
      <c r="U30" s="14">
        <f t="shared" si="29"/>
        <v>409.60000000000014</v>
      </c>
      <c r="V30" s="14">
        <f t="shared" si="29"/>
        <v>369.89999999999981</v>
      </c>
      <c r="W30" s="14">
        <f t="shared" si="29"/>
        <v>368.79999999999995</v>
      </c>
      <c r="X30" s="14">
        <f t="shared" si="29"/>
        <v>351.00000000000011</v>
      </c>
      <c r="Y30" s="14">
        <f>Y31</f>
        <v>413.79999999999984</v>
      </c>
      <c r="Z30" s="14">
        <f t="shared" si="29"/>
        <v>382.20000000000005</v>
      </c>
      <c r="AA30" s="14">
        <f t="shared" si="29"/>
        <v>435.4</v>
      </c>
      <c r="AB30" s="14">
        <f>AB31</f>
        <v>5454.7</v>
      </c>
      <c r="AC30" s="14">
        <f t="shared" ref="AC30:AN30" si="30">AC31</f>
        <v>360.1</v>
      </c>
      <c r="AD30" s="14">
        <f t="shared" si="30"/>
        <v>476</v>
      </c>
      <c r="AE30" s="14">
        <f t="shared" si="30"/>
        <v>470.59999999999991</v>
      </c>
      <c r="AF30" s="14">
        <f t="shared" si="30"/>
        <v>532.1</v>
      </c>
      <c r="AG30" s="14">
        <f t="shared" si="30"/>
        <v>546</v>
      </c>
      <c r="AH30" s="14">
        <f t="shared" si="30"/>
        <v>483.70999999999981</v>
      </c>
      <c r="AI30" s="14">
        <f t="shared" si="30"/>
        <v>447.5200000000001</v>
      </c>
      <c r="AJ30" s="14">
        <f t="shared" si="30"/>
        <v>436.47</v>
      </c>
      <c r="AK30" s="14">
        <f t="shared" si="30"/>
        <v>380.70000000000005</v>
      </c>
      <c r="AL30" s="14">
        <f>AL31</f>
        <v>433.20000000000005</v>
      </c>
      <c r="AM30" s="14">
        <f t="shared" si="30"/>
        <v>410.50000000000011</v>
      </c>
      <c r="AN30" s="14">
        <f t="shared" si="30"/>
        <v>477.79999999999961</v>
      </c>
      <c r="AO30" s="14">
        <f>AB30-O30</f>
        <v>631.84521800000039</v>
      </c>
      <c r="AP30" s="26">
        <f t="shared" si="7"/>
        <v>0.13101062473582903</v>
      </c>
      <c r="AR30" s="31"/>
    </row>
    <row r="31" spans="1:44" x14ac:dyDescent="0.2">
      <c r="A31" s="5" t="s">
        <v>42</v>
      </c>
      <c r="B31" s="16">
        <f>SUM(B32:B33)</f>
        <v>3815.2999999999997</v>
      </c>
      <c r="C31" s="16">
        <f>SUM(C32:C33)</f>
        <v>348.4</v>
      </c>
      <c r="D31" s="16">
        <f t="shared" ref="D31:M31" si="31">SUM(D32:D33)</f>
        <v>407.5</v>
      </c>
      <c r="E31" s="16">
        <f t="shared" si="31"/>
        <v>471.5</v>
      </c>
      <c r="F31" s="16">
        <f t="shared" si="31"/>
        <v>489.9</v>
      </c>
      <c r="G31" s="16">
        <f t="shared" si="31"/>
        <v>443.4</v>
      </c>
      <c r="H31" s="16">
        <f t="shared" si="31"/>
        <v>462.70000000000005</v>
      </c>
      <c r="I31" s="16">
        <f t="shared" si="31"/>
        <v>405</v>
      </c>
      <c r="J31" s="16">
        <f t="shared" si="31"/>
        <v>393.4</v>
      </c>
      <c r="K31" s="16">
        <f t="shared" si="31"/>
        <v>393.5</v>
      </c>
      <c r="L31" s="16">
        <f t="shared" si="31"/>
        <v>382.4</v>
      </c>
      <c r="M31" s="16">
        <f t="shared" si="31"/>
        <v>448.70000000000005</v>
      </c>
      <c r="N31" s="16">
        <f>SUM(N32:N33)</f>
        <v>440.8</v>
      </c>
      <c r="O31" s="16">
        <f>SUM(O32:O33)</f>
        <v>4822.8547819999994</v>
      </c>
      <c r="P31" s="16">
        <f>SUM(P32:P33)</f>
        <v>394.354782</v>
      </c>
      <c r="Q31" s="16">
        <f>SUM(Q32:Q33)</f>
        <v>392.6</v>
      </c>
      <c r="R31" s="16">
        <f t="shared" ref="R31:Z31" si="32">SUM(R32:R33)</f>
        <v>446.5</v>
      </c>
      <c r="S31" s="16">
        <f t="shared" si="32"/>
        <v>424.19999999999993</v>
      </c>
      <c r="T31" s="16">
        <f t="shared" si="32"/>
        <v>434.5</v>
      </c>
      <c r="U31" s="16">
        <f t="shared" si="32"/>
        <v>409.60000000000014</v>
      </c>
      <c r="V31" s="16">
        <f t="shared" si="32"/>
        <v>369.89999999999981</v>
      </c>
      <c r="W31" s="16">
        <f t="shared" si="32"/>
        <v>368.79999999999995</v>
      </c>
      <c r="X31" s="16">
        <f t="shared" si="32"/>
        <v>351.00000000000011</v>
      </c>
      <c r="Y31" s="16">
        <f t="shared" si="32"/>
        <v>413.79999999999984</v>
      </c>
      <c r="Z31" s="16">
        <f t="shared" si="32"/>
        <v>382.20000000000005</v>
      </c>
      <c r="AA31" s="16">
        <f>SUM(AA32:AA33)</f>
        <v>435.4</v>
      </c>
      <c r="AB31" s="16">
        <f>SUM(AB32:AB33)</f>
        <v>5454.7</v>
      </c>
      <c r="AC31" s="16">
        <f>SUM(AC32:AC33)</f>
        <v>360.1</v>
      </c>
      <c r="AD31" s="16">
        <f>SUM(AD32:AD33)</f>
        <v>476</v>
      </c>
      <c r="AE31" s="16">
        <f t="shared" ref="AE31:AM31" si="33">SUM(AE32:AE33)</f>
        <v>470.59999999999991</v>
      </c>
      <c r="AF31" s="16">
        <f>SUM(AF32:AF33)</f>
        <v>532.1</v>
      </c>
      <c r="AG31" s="16">
        <f t="shared" si="33"/>
        <v>546</v>
      </c>
      <c r="AH31" s="16">
        <f t="shared" si="33"/>
        <v>483.70999999999981</v>
      </c>
      <c r="AI31" s="16">
        <f t="shared" si="33"/>
        <v>447.5200000000001</v>
      </c>
      <c r="AJ31" s="16">
        <f t="shared" si="33"/>
        <v>436.47</v>
      </c>
      <c r="AK31" s="16">
        <f t="shared" si="33"/>
        <v>380.70000000000005</v>
      </c>
      <c r="AL31" s="16">
        <f t="shared" si="33"/>
        <v>433.20000000000005</v>
      </c>
      <c r="AM31" s="16">
        <f t="shared" si="33"/>
        <v>410.50000000000011</v>
      </c>
      <c r="AN31" s="16">
        <f>SUM(AN32:AN33)</f>
        <v>477.79999999999961</v>
      </c>
      <c r="AO31" s="16">
        <f>AB31-O31</f>
        <v>631.84521800000039</v>
      </c>
      <c r="AP31" s="27">
        <f t="shared" si="7"/>
        <v>0.13101062473582903</v>
      </c>
      <c r="AR31" s="31"/>
    </row>
    <row r="32" spans="1:44" x14ac:dyDescent="0.2">
      <c r="A32" s="6" t="s">
        <v>43</v>
      </c>
      <c r="B32" s="15">
        <f>SUM(C32:K32)</f>
        <v>3065.2</v>
      </c>
      <c r="C32" s="15">
        <v>288.5</v>
      </c>
      <c r="D32" s="15">
        <v>334.1</v>
      </c>
      <c r="E32" s="15">
        <v>388.7</v>
      </c>
      <c r="F32" s="15">
        <v>395.5</v>
      </c>
      <c r="G32" s="15">
        <v>359</v>
      </c>
      <c r="H32" s="15">
        <v>364.3</v>
      </c>
      <c r="I32" s="15">
        <v>315.5</v>
      </c>
      <c r="J32" s="15">
        <v>306.2</v>
      </c>
      <c r="K32" s="15">
        <v>313.39999999999998</v>
      </c>
      <c r="L32" s="15">
        <v>295.7</v>
      </c>
      <c r="M32" s="15">
        <v>372.6</v>
      </c>
      <c r="N32" s="15">
        <v>356.5</v>
      </c>
      <c r="O32" s="15">
        <f t="shared" ref="O32:O36" si="34">SUM(P32:AA32)</f>
        <v>3907.3999999999996</v>
      </c>
      <c r="P32" s="15">
        <v>327</v>
      </c>
      <c r="Q32" s="15">
        <v>328.8</v>
      </c>
      <c r="R32" s="15">
        <v>377.2</v>
      </c>
      <c r="S32" s="15">
        <v>342.79999999999995</v>
      </c>
      <c r="T32" s="15">
        <v>352.59999999999997</v>
      </c>
      <c r="U32" s="15">
        <v>333.70000000000016</v>
      </c>
      <c r="V32" s="15">
        <v>284.39999999999975</v>
      </c>
      <c r="W32" s="15">
        <v>289.60000000000002</v>
      </c>
      <c r="X32" s="15">
        <v>276.50000000000011</v>
      </c>
      <c r="Y32" s="15">
        <v>329.29999999999984</v>
      </c>
      <c r="Z32" s="15">
        <v>313.20000000000005</v>
      </c>
      <c r="AA32" s="15">
        <v>352.29999999999995</v>
      </c>
      <c r="AB32" s="15">
        <f t="shared" ref="AB32:AB33" si="35">SUM(AC32:AN32)</f>
        <v>4521.7</v>
      </c>
      <c r="AC32" s="15">
        <v>288.5</v>
      </c>
      <c r="AD32" s="15">
        <v>405.6</v>
      </c>
      <c r="AE32" s="15">
        <v>392.89999999999992</v>
      </c>
      <c r="AF32" s="15">
        <f>[18]объемы!$AJ$30+[18]объемы!$AJ$31</f>
        <v>436.5</v>
      </c>
      <c r="AG32" s="15">
        <f>[19]объемы!$AK$30+[19]объемы!$AK$31</f>
        <v>459.20000000000005</v>
      </c>
      <c r="AH32" s="15">
        <v>408.70999999999981</v>
      </c>
      <c r="AI32" s="15">
        <f>[20]объемы!$AM$30+[20]объемы!$AM$31</f>
        <v>349.42000000000007</v>
      </c>
      <c r="AJ32" s="15">
        <f>[21]объемы!$AN$30+[21]объемы!$AN$31</f>
        <v>359.17000000000007</v>
      </c>
      <c r="AK32" s="15">
        <f>[22]объемы!$AO$30+[22]объемы!$AO$31</f>
        <v>314.90000000000009</v>
      </c>
      <c r="AL32" s="15">
        <f>[23]объемы!$AP$30+[23]объемы!$AP$31</f>
        <v>349.5</v>
      </c>
      <c r="AM32" s="15">
        <f>[24]объемы!$AQ$30+[24]объемы!$AQ$31</f>
        <v>350.40000000000009</v>
      </c>
      <c r="AN32" s="15">
        <f>[25]объемы!$AR$30+[25]объемы!$AR$31</f>
        <v>406.89999999999964</v>
      </c>
      <c r="AO32" s="16">
        <f>AB32-O32</f>
        <v>614.30000000000018</v>
      </c>
      <c r="AP32" s="27">
        <f t="shared" si="7"/>
        <v>0.15721451604647599</v>
      </c>
      <c r="AR32" s="31"/>
    </row>
    <row r="33" spans="1:44" x14ac:dyDescent="0.2">
      <c r="A33" s="6" t="s">
        <v>44</v>
      </c>
      <c r="B33" s="15">
        <f>SUM(C33:K33)</f>
        <v>750.1</v>
      </c>
      <c r="C33" s="15">
        <v>59.9</v>
      </c>
      <c r="D33" s="15">
        <v>73.400000000000006</v>
      </c>
      <c r="E33" s="15">
        <v>82.8</v>
      </c>
      <c r="F33" s="15">
        <v>94.4</v>
      </c>
      <c r="G33" s="15">
        <v>84.4</v>
      </c>
      <c r="H33" s="15">
        <v>98.4</v>
      </c>
      <c r="I33" s="15">
        <v>89.5</v>
      </c>
      <c r="J33" s="15">
        <v>87.2</v>
      </c>
      <c r="K33" s="15">
        <v>80.099999999999994</v>
      </c>
      <c r="L33" s="15">
        <v>86.7</v>
      </c>
      <c r="M33" s="15">
        <v>76.099999999999994</v>
      </c>
      <c r="N33" s="15">
        <v>84.3</v>
      </c>
      <c r="O33" s="15">
        <f t="shared" si="34"/>
        <v>915.45478200000002</v>
      </c>
      <c r="P33" s="15">
        <v>67.354782</v>
      </c>
      <c r="Q33" s="15">
        <v>63.8</v>
      </c>
      <c r="R33" s="15">
        <v>69.300000000000011</v>
      </c>
      <c r="S33" s="15">
        <v>81.399999999999977</v>
      </c>
      <c r="T33" s="15">
        <v>81.900000000000034</v>
      </c>
      <c r="U33" s="15">
        <v>75.899999999999977</v>
      </c>
      <c r="V33" s="15">
        <v>85.500000000000057</v>
      </c>
      <c r="W33" s="15">
        <v>79.199999999999932</v>
      </c>
      <c r="X33" s="15">
        <v>74.5</v>
      </c>
      <c r="Y33" s="15">
        <v>84.5</v>
      </c>
      <c r="Z33" s="15">
        <v>69</v>
      </c>
      <c r="AA33" s="15">
        <v>83.100000000000023</v>
      </c>
      <c r="AB33" s="15">
        <f t="shared" si="35"/>
        <v>933</v>
      </c>
      <c r="AC33" s="15">
        <v>71.599999999999994</v>
      </c>
      <c r="AD33" s="15">
        <v>70.400000000000006</v>
      </c>
      <c r="AE33" s="15">
        <v>77.699999999999989</v>
      </c>
      <c r="AF33" s="15">
        <f>[18]объемы!$AJ$32</f>
        <v>95.600000000000023</v>
      </c>
      <c r="AG33" s="15">
        <f>[19]объемы!$AK$32</f>
        <v>86.800000000000011</v>
      </c>
      <c r="AH33" s="15">
        <v>75</v>
      </c>
      <c r="AI33" s="15">
        <f>[20]объемы!$AM$32</f>
        <v>98.100000000000023</v>
      </c>
      <c r="AJ33" s="15">
        <f>[21]объемы!$AN$32</f>
        <v>77.299999999999955</v>
      </c>
      <c r="AK33" s="15">
        <f>[22]объемы!$AO$32</f>
        <v>65.799999999999955</v>
      </c>
      <c r="AL33" s="15">
        <f>[23]объемы!$AP$32</f>
        <v>83.700000000000045</v>
      </c>
      <c r="AM33" s="15">
        <f>[24]объемы!$AQ$32</f>
        <v>60.100000000000023</v>
      </c>
      <c r="AN33" s="15">
        <f>[25]объемы!$AR$32</f>
        <v>70.899999999999977</v>
      </c>
      <c r="AO33" s="16">
        <f>AB33-O33</f>
        <v>17.545217999999977</v>
      </c>
      <c r="AP33" s="27">
        <f t="shared" si="7"/>
        <v>1.9165575782638684E-2</v>
      </c>
      <c r="AR33" s="31"/>
    </row>
    <row r="34" spans="1:44" x14ac:dyDescent="0.2">
      <c r="A34" s="10" t="s">
        <v>45</v>
      </c>
      <c r="B34" s="16">
        <f>SUM(B35:B36)</f>
        <v>465.4</v>
      </c>
      <c r="C34" s="16">
        <f>SUM(C35:C36)</f>
        <v>41.7</v>
      </c>
      <c r="D34" s="16">
        <f t="shared" ref="D34:N34" si="36">SUM(D35:D36)</f>
        <v>47.3</v>
      </c>
      <c r="E34" s="16">
        <f t="shared" si="36"/>
        <v>60.2</v>
      </c>
      <c r="F34" s="16">
        <f t="shared" si="36"/>
        <v>59.7</v>
      </c>
      <c r="G34" s="16">
        <f t="shared" si="36"/>
        <v>53.1</v>
      </c>
      <c r="H34" s="16">
        <f t="shared" si="36"/>
        <v>57.3</v>
      </c>
      <c r="I34" s="16">
        <f t="shared" si="36"/>
        <v>50.099999999999994</v>
      </c>
      <c r="J34" s="16">
        <f t="shared" si="36"/>
        <v>49.5</v>
      </c>
      <c r="K34" s="16">
        <f t="shared" si="36"/>
        <v>46.5</v>
      </c>
      <c r="L34" s="16">
        <f t="shared" si="36"/>
        <v>51.400000000000006</v>
      </c>
      <c r="M34" s="16">
        <f t="shared" si="36"/>
        <v>50.7</v>
      </c>
      <c r="N34" s="16">
        <f t="shared" si="36"/>
        <v>56.2</v>
      </c>
      <c r="O34" s="16">
        <f>SUM(O35:O36)</f>
        <v>610.60000000000014</v>
      </c>
      <c r="P34" s="16">
        <f>SUM(P35:P36)</f>
        <v>48.3</v>
      </c>
      <c r="Q34" s="16">
        <f>SUM(Q35:Q36)</f>
        <v>52.2</v>
      </c>
      <c r="R34" s="16">
        <f t="shared" ref="R34:AA34" si="37">SUM(R35:R36)</f>
        <v>58.7</v>
      </c>
      <c r="S34" s="16">
        <f t="shared" si="37"/>
        <v>55.499999999999993</v>
      </c>
      <c r="T34" s="16">
        <f t="shared" si="37"/>
        <v>54.800000000000011</v>
      </c>
      <c r="U34" s="16">
        <f t="shared" si="37"/>
        <v>51.899999999999991</v>
      </c>
      <c r="V34" s="16">
        <f t="shared" si="37"/>
        <v>47.2</v>
      </c>
      <c r="W34" s="16">
        <f t="shared" si="37"/>
        <v>46.899999999999991</v>
      </c>
      <c r="X34" s="16">
        <f t="shared" si="37"/>
        <v>43.200000000000017</v>
      </c>
      <c r="Y34" s="16">
        <f t="shared" si="37"/>
        <v>49.299999999999983</v>
      </c>
      <c r="Z34" s="16">
        <f t="shared" si="37"/>
        <v>47.400000000000034</v>
      </c>
      <c r="AA34" s="16">
        <f t="shared" si="37"/>
        <v>55.199999999999974</v>
      </c>
      <c r="AB34" s="16">
        <f>SUM(AB35:AB36)</f>
        <v>639.67000000000007</v>
      </c>
      <c r="AC34" s="16">
        <f>SUM(AC35:AC36)</f>
        <v>48.7</v>
      </c>
      <c r="AD34" s="16">
        <f>SUM(AD35:AD36)</f>
        <v>58.900000000000006</v>
      </c>
      <c r="AE34" s="16">
        <f t="shared" ref="AE34:AN34" si="38">SUM(AE35:AE36)</f>
        <v>59.5</v>
      </c>
      <c r="AF34" s="16">
        <f>SUM(AF35:AF36)</f>
        <v>65.769999999999982</v>
      </c>
      <c r="AG34" s="16">
        <f t="shared" si="38"/>
        <v>59.730000000000004</v>
      </c>
      <c r="AH34" s="16">
        <f t="shared" si="38"/>
        <v>60.660000000000011</v>
      </c>
      <c r="AI34" s="16">
        <f t="shared" si="38"/>
        <v>54.759999999999991</v>
      </c>
      <c r="AJ34" s="16">
        <f t="shared" si="38"/>
        <v>47.379999999999981</v>
      </c>
      <c r="AK34" s="16">
        <f t="shared" si="38"/>
        <v>42.100000000000037</v>
      </c>
      <c r="AL34" s="16">
        <f t="shared" si="38"/>
        <v>46.500000000000014</v>
      </c>
      <c r="AM34" s="16">
        <f t="shared" si="38"/>
        <v>44.599999999999966</v>
      </c>
      <c r="AN34" s="16">
        <f t="shared" si="38"/>
        <v>51.07000000000005</v>
      </c>
      <c r="AO34" s="16">
        <f>AB34-O34</f>
        <v>29.069999999999936</v>
      </c>
      <c r="AP34" s="27">
        <f t="shared" si="7"/>
        <v>4.7608909269570801E-2</v>
      </c>
      <c r="AR34" s="31"/>
    </row>
    <row r="35" spans="1:44" x14ac:dyDescent="0.2">
      <c r="A35" s="6" t="s">
        <v>46</v>
      </c>
      <c r="B35" s="15">
        <f>SUM(C35:K35)</f>
        <v>326.89999999999998</v>
      </c>
      <c r="C35" s="15">
        <v>30.3</v>
      </c>
      <c r="D35" s="15">
        <v>34.799999999999997</v>
      </c>
      <c r="E35" s="15">
        <v>44</v>
      </c>
      <c r="F35" s="15">
        <v>43</v>
      </c>
      <c r="G35" s="15">
        <v>38</v>
      </c>
      <c r="H35" s="15">
        <v>39.1</v>
      </c>
      <c r="I35" s="15">
        <v>33.299999999999997</v>
      </c>
      <c r="J35" s="15">
        <v>33.200000000000003</v>
      </c>
      <c r="K35" s="15">
        <v>31.2</v>
      </c>
      <c r="L35" s="15">
        <v>35.1</v>
      </c>
      <c r="M35" s="15">
        <v>36.6</v>
      </c>
      <c r="N35" s="15">
        <v>40</v>
      </c>
      <c r="O35" s="15">
        <f t="shared" si="34"/>
        <v>443.90000000000009</v>
      </c>
      <c r="P35" s="15">
        <v>35.1</v>
      </c>
      <c r="Q35" s="15">
        <v>40.700000000000003</v>
      </c>
      <c r="R35" s="15">
        <v>45.000000000000007</v>
      </c>
      <c r="S35" s="15">
        <v>41.199999999999989</v>
      </c>
      <c r="T35" s="15">
        <v>39.700000000000017</v>
      </c>
      <c r="U35" s="15">
        <v>39.399999999999991</v>
      </c>
      <c r="V35" s="15">
        <v>31.5</v>
      </c>
      <c r="W35" s="15">
        <v>31.799999999999997</v>
      </c>
      <c r="X35" s="15">
        <v>30.800000000000011</v>
      </c>
      <c r="Y35" s="15">
        <v>34.599999999999994</v>
      </c>
      <c r="Z35" s="15">
        <v>34.300000000000011</v>
      </c>
      <c r="AA35" s="15">
        <v>39.799999999999997</v>
      </c>
      <c r="AB35" s="15">
        <f t="shared" ref="AB35:AB36" si="39">SUM(AC35:AN35)</f>
        <v>460.37000000000006</v>
      </c>
      <c r="AC35" s="16">
        <v>33.4</v>
      </c>
      <c r="AD35" s="15">
        <v>42.2</v>
      </c>
      <c r="AE35" s="15">
        <v>44</v>
      </c>
      <c r="AF35" s="16">
        <f>[18]объемы!$AJ$79+[18]объемы!$AJ$80</f>
        <v>45.669999999999995</v>
      </c>
      <c r="AG35" s="15">
        <f>[19]объемы!$AK$79+[19]объемы!$AK$80</f>
        <v>42.429999999999993</v>
      </c>
      <c r="AH35" s="15">
        <v>45.060000000000016</v>
      </c>
      <c r="AI35" s="15">
        <f>[20]объемы!$AM$79+[20]объемы!$AM$80</f>
        <v>35.559999999999988</v>
      </c>
      <c r="AJ35" s="15">
        <f>[21]объемы!$AN$79+[21]объемы!$AN$80</f>
        <v>31.379999999999995</v>
      </c>
      <c r="AK35" s="15">
        <f>[22]объемы!$AO$79+[22]объемы!$AO$80</f>
        <v>29.90000000000002</v>
      </c>
      <c r="AL35" s="15">
        <f>[23]объемы!$AP$79+[23]объемы!$AP$80</f>
        <v>33.600000000000009</v>
      </c>
      <c r="AM35" s="15">
        <f>[24]объемы!$AQ$79+[24]объемы!$AQ$80</f>
        <v>35.399999999999977</v>
      </c>
      <c r="AN35" s="15">
        <f>[25]объемы!$AR$79+[25]объемы!$AR$80</f>
        <v>41.770000000000039</v>
      </c>
      <c r="AO35" s="16">
        <f>AB35-O35</f>
        <v>16.46999999999997</v>
      </c>
      <c r="AP35" s="27">
        <f t="shared" si="7"/>
        <v>3.710295111511594E-2</v>
      </c>
      <c r="AR35" s="31"/>
    </row>
    <row r="36" spans="1:44" x14ac:dyDescent="0.2">
      <c r="A36" s="6" t="s">
        <v>47</v>
      </c>
      <c r="B36" s="15">
        <f>SUM(C36:K36)</f>
        <v>138.5</v>
      </c>
      <c r="C36" s="15">
        <v>11.4</v>
      </c>
      <c r="D36" s="15">
        <v>12.499999999999998</v>
      </c>
      <c r="E36" s="15">
        <v>16.2</v>
      </c>
      <c r="F36" s="15">
        <v>16.7</v>
      </c>
      <c r="G36" s="15">
        <v>15.1</v>
      </c>
      <c r="H36" s="15">
        <v>18.2</v>
      </c>
      <c r="I36" s="15">
        <v>16.8</v>
      </c>
      <c r="J36" s="15">
        <v>16.3</v>
      </c>
      <c r="K36" s="15">
        <v>15.3</v>
      </c>
      <c r="L36" s="15">
        <v>16.3</v>
      </c>
      <c r="M36" s="15">
        <v>14.1</v>
      </c>
      <c r="N36" s="15">
        <v>16.2</v>
      </c>
      <c r="O36" s="15">
        <f t="shared" si="34"/>
        <v>166.7</v>
      </c>
      <c r="P36" s="15">
        <v>13.2</v>
      </c>
      <c r="Q36" s="15">
        <v>11.5</v>
      </c>
      <c r="R36" s="15">
        <v>13.7</v>
      </c>
      <c r="S36" s="15">
        <v>14.300000000000004</v>
      </c>
      <c r="T36" s="15">
        <v>15.099999999999994</v>
      </c>
      <c r="U36" s="15">
        <v>12.5</v>
      </c>
      <c r="V36" s="15">
        <v>15.700000000000003</v>
      </c>
      <c r="W36" s="15">
        <v>15.099999999999994</v>
      </c>
      <c r="X36" s="15">
        <v>12.400000000000006</v>
      </c>
      <c r="Y36" s="15">
        <v>14.699999999999989</v>
      </c>
      <c r="Z36" s="15">
        <v>13.100000000000023</v>
      </c>
      <c r="AA36" s="15">
        <v>15.399999999999977</v>
      </c>
      <c r="AB36" s="15">
        <f t="shared" si="39"/>
        <v>179.3</v>
      </c>
      <c r="AC36" s="15">
        <v>15.3</v>
      </c>
      <c r="AD36" s="15">
        <v>16.7</v>
      </c>
      <c r="AE36" s="15">
        <v>15.5</v>
      </c>
      <c r="AF36" s="15">
        <f>[18]объемы!$AJ$81</f>
        <v>20.099999999999994</v>
      </c>
      <c r="AG36" s="15">
        <f>[19]объемы!$AK$81</f>
        <v>17.300000000000011</v>
      </c>
      <c r="AH36" s="15">
        <v>15.599999999999994</v>
      </c>
      <c r="AI36" s="15">
        <f>[20]объемы!$AM$81</f>
        <v>19.200000000000003</v>
      </c>
      <c r="AJ36" s="15">
        <f>[21]объемы!$AN$81</f>
        <v>15.999999999999986</v>
      </c>
      <c r="AK36" s="15">
        <f>[22]объемы!$AO$81</f>
        <v>12.200000000000017</v>
      </c>
      <c r="AL36" s="15">
        <f>[23]объемы!$AP$81</f>
        <v>12.900000000000006</v>
      </c>
      <c r="AM36" s="15">
        <f>[24]объемы!$AQ$81</f>
        <v>9.1999999999999886</v>
      </c>
      <c r="AN36" s="15">
        <f>[25]объемы!$AR$81</f>
        <v>9.3000000000000114</v>
      </c>
      <c r="AO36" s="16">
        <f>AB36-O36</f>
        <v>12.600000000000023</v>
      </c>
      <c r="AP36" s="27">
        <f t="shared" si="7"/>
        <v>7.5584883023395458E-2</v>
      </c>
      <c r="AR36" s="35"/>
    </row>
    <row r="37" spans="1:44" x14ac:dyDescent="0.2"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44" x14ac:dyDescent="0.2">
      <c r="A38" s="12"/>
      <c r="P38" s="31"/>
      <c r="Q38" s="31"/>
      <c r="R38" s="31"/>
      <c r="S38" s="31"/>
      <c r="T38" s="31"/>
      <c r="U38" s="31"/>
      <c r="V38" s="31"/>
      <c r="W38" s="17"/>
      <c r="X38" s="17"/>
      <c r="Y38" s="17"/>
      <c r="Z38" s="17"/>
      <c r="AA38" s="17"/>
    </row>
    <row r="40" spans="1:44" x14ac:dyDescent="0.2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44" x14ac:dyDescent="0.2">
      <c r="P41" s="31"/>
      <c r="Q41" s="31"/>
      <c r="R41" s="31"/>
      <c r="S41" s="31"/>
      <c r="T41" s="31"/>
      <c r="U41" s="31"/>
      <c r="V41" s="31"/>
      <c r="W41" s="17"/>
      <c r="X41" s="17"/>
      <c r="Y41" s="17"/>
      <c r="Z41" s="17"/>
      <c r="AA41" s="17"/>
    </row>
    <row r="42" spans="1:44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G42" s="20"/>
      <c r="AH42" s="20"/>
      <c r="AI42" s="22"/>
    </row>
    <row r="43" spans="1:44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1"/>
      <c r="AH43" s="21"/>
    </row>
    <row r="44" spans="1:44" x14ac:dyDescent="0.2">
      <c r="AG44" s="21"/>
      <c r="AH44" s="21"/>
    </row>
    <row r="45" spans="1:44" x14ac:dyDescent="0.2"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G45" s="21"/>
      <c r="AH45" s="21"/>
    </row>
    <row r="46" spans="1:44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4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4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AG51" s="18"/>
      <c r="AH51" s="18"/>
    </row>
    <row r="52" spans="16:34" x14ac:dyDescent="0.2"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9"/>
      <c r="AH53" s="19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3" spans="16:34" x14ac:dyDescent="0.2"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</sheetData>
  <mergeCells count="2">
    <mergeCell ref="A3:A4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2015-01-26T11:24:12Z</dcterms:modified>
</cp:coreProperties>
</file>